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autoCompressPictures="0" defaultThemeVersion="166925"/>
  <mc:AlternateContent xmlns:mc="http://schemas.openxmlformats.org/markup-compatibility/2006">
    <mc:Choice Requires="x15">
      <x15ac:absPath xmlns:x15ac="http://schemas.microsoft.com/office/spreadsheetml/2010/11/ac" url="\\PROF_P_CW_tcn.cicwp.nl\userdata_cifs_p_cw_tcn_001\maghris\Desktop\Processpecialisten\"/>
    </mc:Choice>
  </mc:AlternateContent>
  <xr:revisionPtr revIDLastSave="0" documentId="8_{D8BED369-E229-4D59-AFAA-564DD84E0E2F}" xr6:coauthVersionLast="47" xr6:coauthVersionMax="47" xr10:uidLastSave="{00000000-0000-0000-0000-000000000000}"/>
  <workbookProtection workbookAlgorithmName="SHA-512" workbookHashValue="zpkR7ReZ9/rPPILnnhzvYDCI4whdNbfSoT0M84kXKWYD3aIrIFPJ0shliD0OMND5z5tVHB9vE2lB/tjHpAwfbQ==" workbookSaltValue="00BmilXkX8ws38NhgWqZTg==" workbookSpinCount="100000" lockStructure="1"/>
  <bookViews>
    <workbookView xWindow="-120" yWindow="-120" windowWidth="51840" windowHeight="21240" xr2:uid="{06C84F82-475F-47D1-A093-DF452E609559}"/>
  </bookViews>
  <sheets>
    <sheet name="Keuzeblad maatregelen" sheetId="1" r:id="rId1"/>
    <sheet name="Afdrukoverzicht subsidiebedrag" sheetId="3" r:id="rId2"/>
    <sheet name="Hulpblad" sheetId="2" state="hidden" r:id="rId3"/>
  </sheets>
  <definedNames>
    <definedName name="_xlnm.Print_Area" localSheetId="1">'Afdrukoverzicht subsidiebedrag'!$A$1:$D$34</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4" i="1" l="1"/>
  <c r="A142" i="1" s="1"/>
  <c r="A134" i="1"/>
  <c r="C209" i="2"/>
  <c r="G87" i="1"/>
  <c r="A159" i="1" l="1"/>
  <c r="A144" i="1"/>
  <c r="E164" i="1"/>
  <c r="D606" i="2"/>
  <c r="D607" i="2"/>
  <c r="D608" i="2"/>
  <c r="D609" i="2"/>
  <c r="D610" i="2"/>
  <c r="C9" i="2"/>
  <c r="D601" i="2"/>
  <c r="D602" i="2"/>
  <c r="D603" i="2"/>
  <c r="D604" i="2"/>
  <c r="D600" i="2"/>
  <c r="I610" i="2"/>
  <c r="F610" i="2"/>
  <c r="I609" i="2"/>
  <c r="F609" i="2"/>
  <c r="I608" i="2"/>
  <c r="F608" i="2"/>
  <c r="I607" i="2"/>
  <c r="F607" i="2"/>
  <c r="F606" i="2"/>
  <c r="E194" i="1"/>
  <c r="F593" i="2"/>
  <c r="F592" i="2"/>
  <c r="I591" i="2"/>
  <c r="F591" i="2"/>
  <c r="I590" i="2"/>
  <c r="F590" i="2"/>
  <c r="E181" i="1"/>
  <c r="E151" i="1"/>
  <c r="B25" i="3"/>
  <c r="F579" i="2" l="1"/>
  <c r="F578" i="2"/>
  <c r="F577" i="2"/>
  <c r="F576" i="2"/>
  <c r="I575" i="2"/>
  <c r="I577" i="2"/>
  <c r="I576" i="2"/>
  <c r="I652" i="2"/>
  <c r="D652" i="2"/>
  <c r="F652" i="2" s="1"/>
  <c r="I651" i="2"/>
  <c r="D651" i="2"/>
  <c r="F651" i="2" s="1"/>
  <c r="I650" i="2"/>
  <c r="D650" i="2"/>
  <c r="F650" i="2" s="1"/>
  <c r="I649" i="2"/>
  <c r="D649" i="2"/>
  <c r="F649" i="2" s="1"/>
  <c r="D648" i="2"/>
  <c r="F648" i="2" s="1"/>
  <c r="I647" i="2"/>
  <c r="F646" i="2"/>
  <c r="F645" i="2"/>
  <c r="I644" i="2"/>
  <c r="F644" i="2"/>
  <c r="I643" i="2"/>
  <c r="F643" i="2"/>
  <c r="I642" i="2"/>
  <c r="F641" i="2"/>
  <c r="F640" i="2"/>
  <c r="I639" i="2"/>
  <c r="F639" i="2"/>
  <c r="I638" i="2"/>
  <c r="F638" i="2"/>
  <c r="I637" i="2"/>
  <c r="I636" i="2"/>
  <c r="F636" i="2"/>
  <c r="I635" i="2"/>
  <c r="F635" i="2"/>
  <c r="I634" i="2"/>
  <c r="F634" i="2"/>
  <c r="I633" i="2"/>
  <c r="F633" i="2"/>
  <c r="I632" i="2"/>
  <c r="I631" i="2"/>
  <c r="D631" i="2"/>
  <c r="F631" i="2" s="1"/>
  <c r="I630" i="2"/>
  <c r="D630" i="2"/>
  <c r="F630" i="2" s="1"/>
  <c r="I629" i="2"/>
  <c r="D629" i="2"/>
  <c r="F629" i="2" s="1"/>
  <c r="I628" i="2"/>
  <c r="D628" i="2"/>
  <c r="F628" i="2" s="1"/>
  <c r="D627" i="2"/>
  <c r="F627" i="2" s="1"/>
  <c r="I626" i="2"/>
  <c r="F625" i="2"/>
  <c r="F624" i="2"/>
  <c r="I623" i="2"/>
  <c r="F623" i="2"/>
  <c r="I622" i="2"/>
  <c r="F622" i="2"/>
  <c r="I621" i="2"/>
  <c r="F620" i="2"/>
  <c r="F619" i="2"/>
  <c r="I618" i="2"/>
  <c r="F618" i="2"/>
  <c r="I617" i="2"/>
  <c r="F617" i="2"/>
  <c r="I616" i="2"/>
  <c r="I615" i="2"/>
  <c r="F615" i="2"/>
  <c r="I614" i="2"/>
  <c r="F614" i="2"/>
  <c r="I613" i="2"/>
  <c r="F613" i="2"/>
  <c r="I612" i="2"/>
  <c r="F612" i="2"/>
  <c r="I611" i="2"/>
  <c r="I604" i="2"/>
  <c r="F604" i="2"/>
  <c r="I603" i="2"/>
  <c r="F603" i="2"/>
  <c r="I602" i="2"/>
  <c r="F602" i="2"/>
  <c r="I601" i="2"/>
  <c r="F601" i="2"/>
  <c r="F600" i="2"/>
  <c r="I599" i="2"/>
  <c r="F598" i="2"/>
  <c r="F597" i="2"/>
  <c r="I596" i="2"/>
  <c r="F596" i="2"/>
  <c r="I595" i="2"/>
  <c r="F595" i="2"/>
  <c r="I594" i="2"/>
  <c r="I588" i="2"/>
  <c r="F588" i="2"/>
  <c r="I587" i="2"/>
  <c r="F587" i="2"/>
  <c r="I586" i="2"/>
  <c r="F586" i="2"/>
  <c r="I585" i="2"/>
  <c r="F585" i="2"/>
  <c r="I584" i="2"/>
  <c r="I583" i="2"/>
  <c r="I582" i="2"/>
  <c r="F573" i="2"/>
  <c r="F572" i="2"/>
  <c r="I571" i="2"/>
  <c r="F571" i="2"/>
  <c r="I570" i="2"/>
  <c r="F570" i="2"/>
  <c r="I569" i="2"/>
  <c r="I568" i="2"/>
  <c r="I567" i="2"/>
  <c r="C280" i="2"/>
  <c r="C273" i="2"/>
  <c r="C265" i="2"/>
  <c r="G182" i="1"/>
  <c r="C200" i="2"/>
  <c r="C194" i="2"/>
  <c r="C190" i="2"/>
  <c r="E21" i="1"/>
  <c r="E20" i="1"/>
  <c r="C281" i="2" l="1"/>
  <c r="C292" i="2"/>
  <c r="A196" i="1"/>
  <c r="A25" i="3"/>
  <c r="C288" i="2"/>
  <c r="C287" i="2"/>
  <c r="E196" i="1" s="1"/>
  <c r="C284" i="2"/>
  <c r="O174" i="1" s="1"/>
  <c r="C195" i="2"/>
  <c r="O126" i="1" s="1"/>
  <c r="C21" i="3" s="1"/>
  <c r="D185" i="2"/>
  <c r="F185" i="2" s="1"/>
  <c r="D184" i="2"/>
  <c r="E184" i="2" s="1"/>
  <c r="D183" i="2"/>
  <c r="F183" i="2" s="1"/>
  <c r="D182" i="2"/>
  <c r="E182" i="2" s="1"/>
  <c r="D181" i="2"/>
  <c r="F181" i="2" s="1"/>
  <c r="D180" i="2"/>
  <c r="E180" i="2" s="1"/>
  <c r="D179" i="2"/>
  <c r="F179" i="2" s="1"/>
  <c r="D178" i="2"/>
  <c r="E178" i="2" s="1"/>
  <c r="D177" i="2"/>
  <c r="D176" i="2"/>
  <c r="E176" i="2" s="1"/>
  <c r="D175" i="2"/>
  <c r="F175" i="2" s="1"/>
  <c r="D174" i="2"/>
  <c r="E174" i="2" s="1"/>
  <c r="E186" i="2" s="1"/>
  <c r="B177" i="2"/>
  <c r="B176" i="2"/>
  <c r="K116" i="1"/>
  <c r="D157" i="2"/>
  <c r="D156" i="2"/>
  <c r="C154" i="2"/>
  <c r="D145" i="2"/>
  <c r="D144" i="2"/>
  <c r="C142" i="2"/>
  <c r="C130" i="2"/>
  <c r="B170" i="2"/>
  <c r="B169" i="2"/>
  <c r="B168" i="2"/>
  <c r="B167" i="2"/>
  <c r="D133" i="2"/>
  <c r="D132" i="2"/>
  <c r="D121" i="2"/>
  <c r="D120" i="2"/>
  <c r="C118" i="2"/>
  <c r="D109" i="2"/>
  <c r="D108" i="2"/>
  <c r="D97" i="2"/>
  <c r="D96" i="2"/>
  <c r="C106" i="2"/>
  <c r="I413" i="2"/>
  <c r="C94" i="2"/>
  <c r="C101" i="2"/>
  <c r="Q128" i="1" l="1"/>
  <c r="Q126" i="1"/>
  <c r="F177" i="2"/>
  <c r="F186" i="2" s="1"/>
  <c r="D186" i="2"/>
  <c r="B179" i="2" s="1"/>
  <c r="C161" i="2"/>
  <c r="C160" i="2"/>
  <c r="C149" i="2"/>
  <c r="C148" i="2"/>
  <c r="C137" i="2"/>
  <c r="C136" i="2"/>
  <c r="C125" i="2"/>
  <c r="C124" i="2"/>
  <c r="C113" i="2"/>
  <c r="C112" i="2"/>
  <c r="C100" i="2"/>
  <c r="B175" i="2" l="1"/>
  <c r="B178" i="2"/>
  <c r="C48" i="2"/>
  <c r="C75" i="2"/>
  <c r="C70" i="2"/>
  <c r="C64" i="2"/>
  <c r="C59" i="2"/>
  <c r="C53" i="2"/>
  <c r="C42" i="2"/>
  <c r="C26" i="2"/>
  <c r="C31" i="2"/>
  <c r="C32" i="2" s="1"/>
  <c r="I71" i="1" s="1"/>
  <c r="I414" i="2"/>
  <c r="I415" i="2"/>
  <c r="I416" i="2"/>
  <c r="I417" i="2"/>
  <c r="I418" i="2"/>
  <c r="I398" i="2"/>
  <c r="I399" i="2"/>
  <c r="I400" i="2"/>
  <c r="I401" i="2"/>
  <c r="I402" i="2"/>
  <c r="C65" i="2" l="1"/>
  <c r="I77" i="1" s="1"/>
  <c r="C76" i="2"/>
  <c r="I79" i="1" s="1"/>
  <c r="G54" i="1"/>
  <c r="G60" i="1"/>
  <c r="G36" i="1"/>
  <c r="C20" i="2"/>
  <c r="G152" i="1"/>
  <c r="I503" i="2"/>
  <c r="F502" i="2"/>
  <c r="F501" i="2"/>
  <c r="I500" i="2"/>
  <c r="F500" i="2"/>
  <c r="I499" i="2"/>
  <c r="F499" i="2"/>
  <c r="I498" i="2"/>
  <c r="I497" i="2"/>
  <c r="I496" i="2"/>
  <c r="C239" i="2"/>
  <c r="C240" i="2" s="1"/>
  <c r="I564" i="2"/>
  <c r="D564" i="2"/>
  <c r="F564" i="2" s="1"/>
  <c r="I563" i="2"/>
  <c r="D563" i="2"/>
  <c r="F563" i="2" s="1"/>
  <c r="I562" i="2"/>
  <c r="D562" i="2"/>
  <c r="F562" i="2" s="1"/>
  <c r="I561" i="2"/>
  <c r="D561" i="2"/>
  <c r="F561" i="2" s="1"/>
  <c r="D560" i="2"/>
  <c r="F560" i="2" s="1"/>
  <c r="I559" i="2"/>
  <c r="F558" i="2"/>
  <c r="F557" i="2"/>
  <c r="I556" i="2"/>
  <c r="F556" i="2"/>
  <c r="I555" i="2"/>
  <c r="F555" i="2"/>
  <c r="I554" i="2"/>
  <c r="F553" i="2"/>
  <c r="F552" i="2"/>
  <c r="I551" i="2"/>
  <c r="F551" i="2"/>
  <c r="I550" i="2"/>
  <c r="F550" i="2"/>
  <c r="I549" i="2"/>
  <c r="I548" i="2"/>
  <c r="F548" i="2"/>
  <c r="I547" i="2"/>
  <c r="F547" i="2"/>
  <c r="I546" i="2"/>
  <c r="F546" i="2"/>
  <c r="I545" i="2"/>
  <c r="F545" i="2"/>
  <c r="I544" i="2"/>
  <c r="I543" i="2"/>
  <c r="D543" i="2"/>
  <c r="F543" i="2" s="1"/>
  <c r="I542" i="2"/>
  <c r="D542" i="2"/>
  <c r="F542" i="2" s="1"/>
  <c r="I541" i="2"/>
  <c r="D541" i="2"/>
  <c r="F541" i="2" s="1"/>
  <c r="I540" i="2"/>
  <c r="D540" i="2"/>
  <c r="F540" i="2" s="1"/>
  <c r="D539" i="2"/>
  <c r="F539" i="2" s="1"/>
  <c r="I538" i="2"/>
  <c r="F537" i="2"/>
  <c r="F536" i="2"/>
  <c r="I535" i="2"/>
  <c r="F535" i="2"/>
  <c r="I534" i="2"/>
  <c r="F534" i="2"/>
  <c r="I533" i="2"/>
  <c r="F532" i="2"/>
  <c r="F531" i="2"/>
  <c r="I530" i="2"/>
  <c r="F530" i="2"/>
  <c r="I529" i="2"/>
  <c r="F529" i="2"/>
  <c r="I528" i="2"/>
  <c r="I527" i="2"/>
  <c r="F527" i="2"/>
  <c r="I526" i="2"/>
  <c r="F526" i="2"/>
  <c r="I525" i="2"/>
  <c r="F525" i="2"/>
  <c r="I524" i="2"/>
  <c r="F524" i="2"/>
  <c r="I523" i="2"/>
  <c r="I522" i="2"/>
  <c r="D522" i="2"/>
  <c r="F522" i="2" s="1"/>
  <c r="I521" i="2"/>
  <c r="D521" i="2"/>
  <c r="F521" i="2" s="1"/>
  <c r="I520" i="2"/>
  <c r="D520" i="2"/>
  <c r="F520" i="2" s="1"/>
  <c r="I519" i="2"/>
  <c r="D519" i="2"/>
  <c r="F519" i="2" s="1"/>
  <c r="D518" i="2"/>
  <c r="F518" i="2" s="1"/>
  <c r="I517" i="2"/>
  <c r="F516" i="2"/>
  <c r="F515" i="2"/>
  <c r="I514" i="2"/>
  <c r="F514" i="2"/>
  <c r="I513" i="2"/>
  <c r="F513" i="2"/>
  <c r="I512" i="2"/>
  <c r="I511" i="2"/>
  <c r="F511" i="2"/>
  <c r="I510" i="2"/>
  <c r="F510" i="2"/>
  <c r="I509" i="2"/>
  <c r="F509" i="2"/>
  <c r="I508" i="2"/>
  <c r="F508" i="2"/>
  <c r="I507" i="2"/>
  <c r="I506" i="2"/>
  <c r="I505" i="2"/>
  <c r="D489" i="2"/>
  <c r="F489" i="2" s="1"/>
  <c r="D447" i="2"/>
  <c r="F447" i="2" s="1"/>
  <c r="D468" i="2"/>
  <c r="F468" i="2" s="1"/>
  <c r="B24" i="3"/>
  <c r="I493" i="2"/>
  <c r="I492" i="2"/>
  <c r="I491" i="2"/>
  <c r="I490" i="2"/>
  <c r="I488" i="2"/>
  <c r="I485" i="2"/>
  <c r="I484" i="2"/>
  <c r="I483" i="2"/>
  <c r="I480" i="2"/>
  <c r="I479" i="2"/>
  <c r="I478" i="2"/>
  <c r="I477" i="2"/>
  <c r="I476" i="2"/>
  <c r="I475" i="2"/>
  <c r="I474" i="2"/>
  <c r="I473" i="2"/>
  <c r="I472" i="2"/>
  <c r="I471" i="2"/>
  <c r="I470" i="2"/>
  <c r="I469" i="2"/>
  <c r="I467" i="2"/>
  <c r="I464" i="2"/>
  <c r="I463" i="2"/>
  <c r="I462" i="2"/>
  <c r="I459" i="2"/>
  <c r="I458" i="2"/>
  <c r="I457" i="2"/>
  <c r="I456" i="2"/>
  <c r="I455" i="2"/>
  <c r="I454" i="2"/>
  <c r="I453" i="2"/>
  <c r="I452" i="2"/>
  <c r="I451" i="2"/>
  <c r="I450" i="2"/>
  <c r="I449" i="2"/>
  <c r="I448" i="2"/>
  <c r="I446" i="2"/>
  <c r="I443" i="2"/>
  <c r="I442" i="2"/>
  <c r="I441" i="2"/>
  <c r="I440" i="2"/>
  <c r="I439" i="2"/>
  <c r="I438" i="2"/>
  <c r="I437" i="2"/>
  <c r="I436" i="2"/>
  <c r="I435" i="2"/>
  <c r="I434" i="2"/>
  <c r="I433" i="2"/>
  <c r="C306" i="2"/>
  <c r="C317" i="2"/>
  <c r="D491" i="2"/>
  <c r="F491" i="2" s="1"/>
  <c r="D492" i="2"/>
  <c r="F492" i="2" s="1"/>
  <c r="D493" i="2"/>
  <c r="F493" i="2" s="1"/>
  <c r="F487" i="2"/>
  <c r="F486" i="2"/>
  <c r="F482" i="2"/>
  <c r="F481" i="2"/>
  <c r="F474" i="2"/>
  <c r="D470" i="2"/>
  <c r="F470" i="2" s="1"/>
  <c r="D471" i="2"/>
  <c r="F471" i="2" s="1"/>
  <c r="D472" i="2"/>
  <c r="F472" i="2" s="1"/>
  <c r="F466" i="2"/>
  <c r="F465" i="2"/>
  <c r="F461" i="2"/>
  <c r="F460" i="2"/>
  <c r="D449" i="2"/>
  <c r="F449" i="2" s="1"/>
  <c r="D450" i="2"/>
  <c r="F450" i="2" s="1"/>
  <c r="D451" i="2"/>
  <c r="F451" i="2" s="1"/>
  <c r="F445" i="2"/>
  <c r="F444" i="2"/>
  <c r="F453" i="2"/>
  <c r="F437" i="2"/>
  <c r="D490" i="2"/>
  <c r="D469" i="2"/>
  <c r="D448" i="2"/>
  <c r="F490" i="2"/>
  <c r="F469" i="2"/>
  <c r="F448" i="2"/>
  <c r="F485" i="2"/>
  <c r="F484" i="2"/>
  <c r="F480" i="2"/>
  <c r="F479" i="2"/>
  <c r="F477" i="2"/>
  <c r="F476" i="2"/>
  <c r="F475" i="2"/>
  <c r="F464" i="2"/>
  <c r="F463" i="2"/>
  <c r="F459" i="2"/>
  <c r="F458" i="2"/>
  <c r="F456" i="2"/>
  <c r="F455" i="2"/>
  <c r="F454" i="2"/>
  <c r="F443" i="2"/>
  <c r="F442" i="2"/>
  <c r="F440" i="2"/>
  <c r="F439" i="2"/>
  <c r="F438" i="2"/>
  <c r="B174" i="2"/>
  <c r="C250" i="2" l="1"/>
  <c r="C325" i="2"/>
  <c r="E323" i="2" l="1"/>
  <c r="E324" i="2"/>
  <c r="C89" i="2"/>
  <c r="C301" i="2"/>
  <c r="A28" i="3" s="1"/>
  <c r="D312" i="2"/>
  <c r="D311" i="2"/>
  <c r="C313" i="2"/>
  <c r="C319" i="2" s="1"/>
  <c r="C37" i="2"/>
  <c r="Q42" i="1" s="1"/>
  <c r="C15" i="2"/>
  <c r="Q89" i="1" l="1"/>
  <c r="Q92" i="1"/>
  <c r="Q94" i="1"/>
  <c r="Q87" i="1"/>
  <c r="B166" i="2"/>
  <c r="A92" i="1" s="1"/>
  <c r="C43" i="2"/>
  <c r="C21" i="2"/>
  <c r="I69" i="1" s="1"/>
  <c r="G30" i="1"/>
  <c r="C308" i="2"/>
  <c r="B165" i="2"/>
  <c r="A87" i="1" s="1"/>
  <c r="Q48" i="1"/>
  <c r="F325" i="2"/>
  <c r="C224" i="2" l="1"/>
  <c r="A166" i="1" s="1"/>
  <c r="G42" i="1"/>
  <c r="I73" i="1"/>
  <c r="C54" i="2"/>
  <c r="I75" i="1" s="1"/>
  <c r="O205" i="1"/>
  <c r="C28" i="3" s="1"/>
  <c r="O218" i="1"/>
  <c r="C31" i="3" s="1"/>
  <c r="H323" i="2"/>
  <c r="H324" i="2"/>
  <c r="B272" i="2" l="1"/>
  <c r="G48" i="1"/>
  <c r="A24" i="3"/>
  <c r="A225" i="1"/>
  <c r="A229" i="1" s="1"/>
  <c r="E229" i="1"/>
  <c r="A233" i="1"/>
  <c r="Q205" i="1"/>
  <c r="B181" i="2"/>
  <c r="B182" i="2"/>
  <c r="Q218" i="1"/>
  <c r="I325" i="2"/>
  <c r="A237" i="1" s="1"/>
  <c r="C246" i="2"/>
  <c r="C245" i="2"/>
  <c r="E166" i="1" s="1"/>
  <c r="B231" i="2"/>
  <c r="E233" i="1" l="1"/>
  <c r="C232" i="2"/>
  <c r="K324" i="2"/>
  <c r="K323" i="2"/>
  <c r="C242" i="2" l="1"/>
  <c r="O144" i="1" s="1"/>
  <c r="L325" i="2"/>
  <c r="Q144" i="1" l="1"/>
  <c r="O239" i="1"/>
  <c r="C32" i="3" s="1"/>
  <c r="E237" i="1"/>
  <c r="A102" i="1"/>
  <c r="A97" i="1"/>
  <c r="Q99" i="1" s="1"/>
  <c r="A112" i="1"/>
  <c r="A107" i="1"/>
  <c r="C25" i="3" l="1"/>
  <c r="Q109" i="1"/>
  <c r="Q107" i="1"/>
  <c r="Q114" i="1"/>
  <c r="Q112" i="1"/>
  <c r="Q102" i="1"/>
  <c r="Q104" i="1"/>
  <c r="Q97" i="1"/>
  <c r="C24" i="3"/>
  <c r="Q174" i="1" l="1"/>
  <c r="B180" i="2"/>
  <c r="C183" i="2" s="1"/>
  <c r="H358" i="2" s="1"/>
  <c r="H378" i="2" l="1"/>
  <c r="H377" i="2"/>
  <c r="H376" i="2"/>
  <c r="I376" i="2" s="1"/>
  <c r="I104" i="1" s="1"/>
  <c r="H375" i="2"/>
  <c r="H374" i="2"/>
  <c r="H373" i="2"/>
  <c r="H360" i="2"/>
  <c r="I360" i="2" s="1"/>
  <c r="I97" i="1" s="1"/>
  <c r="H359" i="2"/>
  <c r="H363" i="2"/>
  <c r="H362" i="2"/>
  <c r="I362" i="2" s="1"/>
  <c r="I107" i="1" s="1"/>
  <c r="I377" i="2"/>
  <c r="I109" i="1" s="1"/>
  <c r="I378" i="2"/>
  <c r="I114" i="1" s="1"/>
  <c r="I374" i="2"/>
  <c r="I94" i="1" s="1"/>
  <c r="I375" i="2"/>
  <c r="I99" i="1" s="1"/>
  <c r="I373" i="2"/>
  <c r="I89" i="1" s="1"/>
  <c r="I363" i="2"/>
  <c r="I112" i="1" s="1"/>
  <c r="H361" i="2"/>
  <c r="I361" i="2" s="1"/>
  <c r="I102" i="1" s="1"/>
  <c r="I359" i="2"/>
  <c r="I92" i="1" s="1"/>
  <c r="H404" i="2"/>
  <c r="I404" i="2" s="1"/>
  <c r="H420" i="2"/>
  <c r="I420" i="2" s="1"/>
  <c r="H405" i="2"/>
  <c r="I405" i="2" s="1"/>
  <c r="H421" i="2"/>
  <c r="I421" i="2" s="1"/>
  <c r="I36" i="1"/>
  <c r="Q30" i="1" s="1"/>
  <c r="H406" i="2"/>
  <c r="I406" i="2" s="1"/>
  <c r="H422" i="2"/>
  <c r="I422" i="2" s="1"/>
  <c r="I42" i="1"/>
  <c r="H407" i="2"/>
  <c r="I407" i="2" s="1"/>
  <c r="H423" i="2"/>
  <c r="I423" i="2" s="1"/>
  <c r="H408" i="2"/>
  <c r="I408" i="2" s="1"/>
  <c r="H409" i="2"/>
  <c r="I409" i="2" s="1"/>
  <c r="H424" i="2"/>
  <c r="I424" i="2" s="1"/>
  <c r="H425" i="2"/>
  <c r="I425" i="2" s="1"/>
  <c r="I48" i="1"/>
  <c r="I54" i="1"/>
  <c r="I60" i="1"/>
  <c r="Q54" i="1" s="1"/>
  <c r="M48" i="1" l="1"/>
  <c r="O48" i="1"/>
  <c r="M54" i="1"/>
  <c r="M60" i="1" s="1"/>
  <c r="I30" i="1"/>
  <c r="M30" i="1" s="1"/>
  <c r="M94" i="1"/>
  <c r="O94" i="1"/>
  <c r="M42" i="1"/>
  <c r="O42" i="1"/>
  <c r="O30" i="1" l="1"/>
  <c r="M36" i="1"/>
  <c r="Q36" i="1" s="1"/>
  <c r="Q60" i="1"/>
  <c r="O60" i="1"/>
  <c r="B8" i="3"/>
  <c r="O75" i="1"/>
  <c r="C8" i="3" s="1"/>
  <c r="O54" i="1"/>
  <c r="O77" i="1"/>
  <c r="B9" i="3"/>
  <c r="B10" i="3"/>
  <c r="O79" i="1"/>
  <c r="M114" i="1"/>
  <c r="B7" i="3"/>
  <c r="O73" i="1"/>
  <c r="C7" i="3" s="1"/>
  <c r="O36" i="1"/>
  <c r="O71" i="1"/>
  <c r="O69" i="1"/>
  <c r="C5" i="3" s="1"/>
  <c r="B5" i="3"/>
  <c r="C10" i="3" l="1"/>
  <c r="B6" i="3"/>
  <c r="C9" i="3"/>
  <c r="O114" i="1"/>
  <c r="M92" i="1"/>
  <c r="C6" i="3"/>
  <c r="O92" i="1" l="1"/>
  <c r="M112" i="1"/>
  <c r="O112" i="1" l="1"/>
  <c r="M104" i="1"/>
  <c r="M102" i="1" l="1"/>
  <c r="O104" i="1"/>
  <c r="O102" i="1" l="1"/>
  <c r="M89" i="1"/>
  <c r="I358" i="2"/>
  <c r="I87" i="1"/>
  <c r="M109" i="1" l="1"/>
  <c r="O89" i="1"/>
  <c r="O109" i="1"/>
  <c r="M87" i="1" l="1"/>
  <c r="O87" i="1" l="1"/>
  <c r="M107" i="1"/>
  <c r="O107" i="1" s="1"/>
  <c r="M99" i="1"/>
  <c r="O99" i="1" s="1"/>
  <c r="M97" i="1"/>
  <c r="O97" i="1" l="1"/>
  <c r="O118" i="1" s="1"/>
  <c r="M116" i="1"/>
  <c r="O243" i="1" l="1"/>
  <c r="Q116" i="1"/>
  <c r="B16" i="3"/>
  <c r="B18" i="3"/>
  <c r="B17" i="3"/>
  <c r="B15" i="3"/>
  <c r="B14" i="3"/>
  <c r="B13" i="3"/>
  <c r="C18" i="3"/>
  <c r="C17" i="3"/>
  <c r="C16" i="3"/>
  <c r="C15" i="3"/>
  <c r="C14" i="3"/>
  <c r="C13" i="3"/>
  <c r="C3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RVO</author>
  </authors>
  <commentList>
    <comment ref="M116" authorId="0" shapeId="0" xr:uid="{107DA202-5AD8-496D-AFF7-164D7EE92795}">
      <text>
        <r>
          <rPr>
            <b/>
            <sz val="9"/>
            <color indexed="81"/>
            <rFont val="Tahoma"/>
            <family val="2"/>
          </rPr>
          <t>Toelichting:</t>
        </r>
        <r>
          <rPr>
            <sz val="9"/>
            <color indexed="81"/>
            <rFont val="Tahoma"/>
            <family val="2"/>
          </rPr>
          <t xml:space="preserve">
Het minimum subsidiabele oppervlak bedraagt 8 m².Bij een kleiner oppervlak komen isolerend glas, panelen en deuren niet in aanmerking voor subsidie. 
Bij overschrijding van het maximum van 45 m² aan glas, paneel en deuroppervlak wordt per maatregel het aantal m² afgetopt. Aan de techniek met het hoogste bedrag per m² worden eerst de subsidiable m² toegekend. Daarna aan de techniek met het op één na hoogste bedrag per m², etc. Tot het maximum van 45 m² is bereikt. De volgorde daarbij is:
Triple glas U ≤ 0,7 W/m²K
Isolerende deur Ud ≤ 1,0 W/m²K
Panelen in kozijn U ≤ 0,7 W/m²K
HR++ glas U ≤ 1,2 W/m²K
Isolerende deur Ud ≤  1,5 W/m²K
Panelen in kozijn U ≤ 1,2 W/m²K
</t>
        </r>
      </text>
    </comment>
    <comment ref="A126" authorId="0" shapeId="0" xr:uid="{F47EB80E-5EF2-4F81-BDC4-BA89EAF9B3E0}">
      <text>
        <r>
          <rPr>
            <sz val="9"/>
            <color indexed="81"/>
            <rFont val="Tahoma"/>
            <family val="2"/>
          </rPr>
          <t xml:space="preserve">Er komen 3 categorieën energiezuinige ventilatiesystemen in aanmerking voor subsidie:
1. Een centrale CO2 gestuurde mechanische luchtafvoer-unit, met een minimale capaciteit van meer dan 125 m3/h,  aangestuurd met minimaal twee CO2 sensoren;
2. Een centrale balansventilatie-unit met warmteterugwinning en een minimaal rendement van 85% en een minimale capaciteit van 125 m3/h;
3. Een decentrale balansventilatie-unit met warmteterugwinning door middel van een warmtewisselaar, een minimaal rendement van 80% en een minimale capaciteit van 80 m3/h, met gelijktijdige luchttoevoer en afvoer in de unit.
</t>
        </r>
      </text>
    </comment>
  </commentList>
</comments>
</file>

<file path=xl/sharedStrings.xml><?xml version="1.0" encoding="utf-8"?>
<sst xmlns="http://schemas.openxmlformats.org/spreadsheetml/2006/main" count="1084" uniqueCount="566">
  <si>
    <t xml:space="preserve">Warmtepomp </t>
  </si>
  <si>
    <t>Aansluiting op het warmtenet</t>
  </si>
  <si>
    <t>Isolatiemaatregelen en/of glas-, kozijnpanelen- of deurisolatie</t>
  </si>
  <si>
    <t>Keuzelijst isolatiemaatregelen</t>
  </si>
  <si>
    <t>Dakisolatie</t>
  </si>
  <si>
    <t>Gevelisolatie</t>
  </si>
  <si>
    <t>Spouwmuurisolatie</t>
  </si>
  <si>
    <t>Glasisolatie</t>
  </si>
  <si>
    <t>Vloerisolatie</t>
  </si>
  <si>
    <t>Zonneboiler</t>
  </si>
  <si>
    <t>Categorieën</t>
  </si>
  <si>
    <t>Bedrag</t>
  </si>
  <si>
    <t>Lucht-water &lt; 1 kW</t>
  </si>
  <si>
    <t>Grond-water &lt; 1 kW</t>
  </si>
  <si>
    <t>Grond-water ≥ 1 kW en &lt; 10 kW</t>
  </si>
  <si>
    <t>Water-water &lt; 1 kW</t>
  </si>
  <si>
    <t>Water-water ≥ 1 kW en &lt; 10 kW</t>
  </si>
  <si>
    <t>Zonneboilercombi</t>
  </si>
  <si>
    <r>
      <t xml:space="preserve">Zonneboiler </t>
    </r>
    <r>
      <rPr>
        <sz val="11"/>
        <color theme="1"/>
        <rFont val="Calibri"/>
        <family val="2"/>
      </rPr>
      <t>≤ 5 m</t>
    </r>
    <r>
      <rPr>
        <vertAlign val="superscript"/>
        <sz val="11"/>
        <color theme="1"/>
        <rFont val="Calibri"/>
        <family val="2"/>
      </rPr>
      <t>2</t>
    </r>
  </si>
  <si>
    <r>
      <t xml:space="preserve">Zonneboiler &gt; 5 en </t>
    </r>
    <r>
      <rPr>
        <sz val="11"/>
        <color theme="1"/>
        <rFont val="Calibri"/>
        <family val="2"/>
      </rPr>
      <t>≤ 10 m</t>
    </r>
    <r>
      <rPr>
        <vertAlign val="superscript"/>
        <sz val="11"/>
        <color theme="1"/>
        <rFont val="Calibri"/>
        <family val="2"/>
      </rPr>
      <t>2</t>
    </r>
  </si>
  <si>
    <r>
      <t xml:space="preserve">Zonneboilercombi </t>
    </r>
    <r>
      <rPr>
        <sz val="11"/>
        <color theme="1"/>
        <rFont val="Calibri"/>
        <family val="2"/>
      </rPr>
      <t>≤ 5 m</t>
    </r>
    <r>
      <rPr>
        <vertAlign val="superscript"/>
        <sz val="11"/>
        <color theme="1"/>
        <rFont val="Calibri"/>
        <family val="2"/>
      </rPr>
      <t>2</t>
    </r>
  </si>
  <si>
    <r>
      <t xml:space="preserve">Zonneboilercombi &gt; 5 en </t>
    </r>
    <r>
      <rPr>
        <sz val="11"/>
        <color theme="1"/>
        <rFont val="Calibri"/>
        <family val="2"/>
      </rPr>
      <t>≤ 10 m</t>
    </r>
    <r>
      <rPr>
        <vertAlign val="superscript"/>
        <sz val="11"/>
        <color theme="1"/>
        <rFont val="Calibri"/>
        <family val="2"/>
      </rPr>
      <t>2</t>
    </r>
  </si>
  <si>
    <t>Aansluiting op warmtenet</t>
  </si>
  <si>
    <t>boven 10 kW</t>
  </si>
  <si>
    <t>boven 1 kW</t>
  </si>
  <si>
    <r>
      <t>Minimum m</t>
    </r>
    <r>
      <rPr>
        <b/>
        <vertAlign val="superscript"/>
        <sz val="11"/>
        <color theme="1"/>
        <rFont val="Calibri"/>
        <family val="2"/>
        <scheme val="minor"/>
      </rPr>
      <t>2</t>
    </r>
    <r>
      <rPr>
        <b/>
        <sz val="11"/>
        <color theme="1"/>
        <rFont val="Calibri"/>
        <family val="2"/>
        <scheme val="minor"/>
      </rPr>
      <t xml:space="preserve">  (bij glas, deur, panelen per combi)</t>
    </r>
  </si>
  <si>
    <r>
      <t>Maximum m</t>
    </r>
    <r>
      <rPr>
        <b/>
        <vertAlign val="superscript"/>
        <sz val="11"/>
        <color theme="1"/>
        <rFont val="Calibri"/>
        <family val="2"/>
        <scheme val="minor"/>
      </rPr>
      <t>2</t>
    </r>
    <r>
      <rPr>
        <b/>
        <sz val="11"/>
        <color theme="1"/>
        <rFont val="Calibri"/>
        <family val="2"/>
        <scheme val="minor"/>
      </rPr>
      <t xml:space="preserve">  (bij glas, deur, panelen per combi)</t>
    </r>
  </si>
  <si>
    <t>Indicatief, werkelijk bijdrage volgens apparatenlijst</t>
  </si>
  <si>
    <t>Kozijnpanelen en isolerende deur alleen in combinatie met HR++ of triple glas</t>
  </si>
  <si>
    <t xml:space="preserve">Glas-, kozijnpanelen- of isolerende deur	</t>
  </si>
  <si>
    <t>Geen warmtepomp</t>
  </si>
  <si>
    <t>Kies soort warmtepomp:</t>
  </si>
  <si>
    <t>Kies soort zonneboiler:</t>
  </si>
  <si>
    <t>Keuzelijst zonneboiler</t>
  </si>
  <si>
    <t>Geen zonneboiler</t>
  </si>
  <si>
    <t>Keuzelijst aansluiting op een warmtenet</t>
  </si>
  <si>
    <t>Kies dakisolatie:</t>
  </si>
  <si>
    <t>Kies gevelisolatie:</t>
  </si>
  <si>
    <t>Kies spouwmuurisolatie:</t>
  </si>
  <si>
    <t>Kies vloerisolatie:</t>
  </si>
  <si>
    <t>Geen dakisolatie</t>
  </si>
  <si>
    <t>Geen gevelisolatie</t>
  </si>
  <si>
    <t>Geen spouwmuurisolatie</t>
  </si>
  <si>
    <t>Geen vloerisolatie</t>
  </si>
  <si>
    <t>Geen glasisolatie</t>
  </si>
  <si>
    <t>Geen elektrische kookvoorziening</t>
  </si>
  <si>
    <t>Elektrische kookvoorziening</t>
  </si>
  <si>
    <t>Elektrische kookvoorziening alleen in combinatie met aansluiting op warmtenet</t>
  </si>
  <si>
    <t>Niet van toepassing</t>
  </si>
  <si>
    <r>
      <t>Subsidiebedrag elektrische kookvoorziening (</t>
    </r>
    <r>
      <rPr>
        <sz val="11"/>
        <rFont val="Calibri"/>
        <family val="2"/>
      </rPr>
      <t>€)</t>
    </r>
    <r>
      <rPr>
        <sz val="11"/>
        <rFont val="Calibri"/>
        <family val="2"/>
        <scheme val="minor"/>
      </rPr>
      <t>:</t>
    </r>
  </si>
  <si>
    <t>Keuzelijst energie-efficiency klasse</t>
  </si>
  <si>
    <t>Ondergrens</t>
  </si>
  <si>
    <t>Bovengrens</t>
  </si>
  <si>
    <t>Overzicht categorieën en kentallen</t>
  </si>
  <si>
    <t>Keuzelijsten en vervolglijsten</t>
  </si>
  <si>
    <t>Keuzelijst dakisolatie</t>
  </si>
  <si>
    <t>keuzelijst gevelisolatie</t>
  </si>
  <si>
    <t>keuzelijst spouwmuurisolatie</t>
  </si>
  <si>
    <t>Keuzelijst vloerisolatie</t>
  </si>
  <si>
    <t>Datum uitvoering isolatiemaatregel</t>
  </si>
  <si>
    <t>HR++ glas, U ≤ 1,2 W/m2K en/of Triple glas, U ≤ 0,7 W/m2K</t>
  </si>
  <si>
    <t>Tellertje aantal geselecteerde technieken t.b.v. verdubbeling tarief isolatiemaatregelen</t>
  </si>
  <si>
    <t>1. Heeft u al eerder ISDE-subsidie ontvangen?</t>
  </si>
  <si>
    <t>Heeft u al eerder ISDE-subsidie ontvangen?</t>
  </si>
  <si>
    <t>Keuzelijst vraag eerder ISDE-subsidie ontvangen</t>
  </si>
  <si>
    <t>Ja</t>
  </si>
  <si>
    <t>Nee</t>
  </si>
  <si>
    <t xml:space="preserve">Meer informatie over de onderstaande technieken vindt u op de ISDE-website: </t>
  </si>
  <si>
    <t>2. Wilt u isolatiemaatregelen laten uitvoeren?</t>
  </si>
  <si>
    <t xml:space="preserve">Let op: </t>
  </si>
  <si>
    <t>Wilt u glasisolatie laten plaatsen?</t>
  </si>
  <si>
    <t xml:space="preserve">Kiest u voor HR++ en/of Triple glasisolatie? Dan komen ook onderstaande types panelen en deuren in aanmerking. </t>
  </si>
  <si>
    <t>Heeft u voor de aansluiting warmtenet al  eerder  subsidie ontvangen van de Rijksoverheid?</t>
  </si>
  <si>
    <t xml:space="preserve"> </t>
  </si>
  <si>
    <t>Keuzelijsten elektrische kookvoorziening</t>
  </si>
  <si>
    <t xml:space="preserve"> Is uw woning aangesloten op een warmtenet?</t>
  </si>
  <si>
    <t>Is uw woning afgesloten van het aardgasnet en de elektrische kookvoorziening aangeschaft op of ná 1 april 2022?</t>
  </si>
  <si>
    <t>Heeft u uw woning op een warmtenet aangesloten?</t>
  </si>
  <si>
    <t>Wilt u een elektrische kookvoorziening aanschaffen?</t>
  </si>
  <si>
    <t>Antwoord biobased vragen</t>
  </si>
  <si>
    <t>WAAR = biobased dakisolatie</t>
  </si>
  <si>
    <t>WAAR = biobased gevelisolatie</t>
  </si>
  <si>
    <t>WAAR = biobased spouwisolatie</t>
  </si>
  <si>
    <t>WAAR = biobased vloerisolatie</t>
  </si>
  <si>
    <t>Vink aan welke maatregelen biobased zijn (indien van toepassing).</t>
  </si>
  <si>
    <t>Type isolatie</t>
  </si>
  <si>
    <t>Op of ná 1 januari 2024</t>
  </si>
  <si>
    <t>Warmtepomp 2024</t>
  </si>
  <si>
    <t>Vast bedrag 2024</t>
  </si>
  <si>
    <t>Verhoging door energieklasse 2024</t>
  </si>
  <si>
    <t>Totaal vast bedrag 2024</t>
  </si>
  <si>
    <t>Extra bedrag/kW 2024</t>
  </si>
  <si>
    <r>
      <t xml:space="preserve">Lucht-water </t>
    </r>
    <r>
      <rPr>
        <sz val="11"/>
        <color theme="1"/>
        <rFont val="Calibri"/>
        <family val="2"/>
      </rPr>
      <t>≥ 1 kW en ≤ 70 kW</t>
    </r>
  </si>
  <si>
    <r>
      <t xml:space="preserve">Lucht-water </t>
    </r>
    <r>
      <rPr>
        <sz val="11"/>
        <rFont val="Calibri"/>
        <family val="2"/>
      </rPr>
      <t>≥ 71 kW en ≤ 400 kW</t>
    </r>
  </si>
  <si>
    <r>
      <t xml:space="preserve">Water-water ≥ 71 kW en </t>
    </r>
    <r>
      <rPr>
        <sz val="11"/>
        <rFont val="Calibri"/>
        <family val="2"/>
      </rPr>
      <t>≤</t>
    </r>
    <r>
      <rPr>
        <sz val="11"/>
        <rFont val="Calibri"/>
        <family val="2"/>
        <scheme val="minor"/>
      </rPr>
      <t xml:space="preserve"> 400 kW</t>
    </r>
  </si>
  <si>
    <r>
      <t xml:space="preserve">Water-water ≥ 10 kW en </t>
    </r>
    <r>
      <rPr>
        <sz val="11"/>
        <color theme="1"/>
        <rFont val="Calibri"/>
        <family val="2"/>
      </rPr>
      <t>≤</t>
    </r>
    <r>
      <rPr>
        <sz val="11"/>
        <color theme="1"/>
        <rFont val="Calibri"/>
        <family val="2"/>
        <scheme val="minor"/>
      </rPr>
      <t xml:space="preserve"> 70 kW</t>
    </r>
  </si>
  <si>
    <r>
      <t xml:space="preserve">Grond-water ≥ 10 kW en </t>
    </r>
    <r>
      <rPr>
        <sz val="11"/>
        <color theme="1"/>
        <rFont val="Calibri"/>
        <family val="2"/>
      </rPr>
      <t>≤</t>
    </r>
    <r>
      <rPr>
        <sz val="11"/>
        <color theme="1"/>
        <rFont val="Calibri"/>
        <family val="2"/>
        <scheme val="minor"/>
      </rPr>
      <t xml:space="preserve"> 70 kW</t>
    </r>
  </si>
  <si>
    <r>
      <t xml:space="preserve">Grond-water ≥ 71 kW en </t>
    </r>
    <r>
      <rPr>
        <sz val="11"/>
        <rFont val="Calibri"/>
        <family val="2"/>
      </rPr>
      <t>≤</t>
    </r>
    <r>
      <rPr>
        <sz val="11"/>
        <rFont val="Calibri"/>
        <family val="2"/>
        <scheme val="minor"/>
      </rPr>
      <t xml:space="preserve"> 400 kW</t>
    </r>
  </si>
  <si>
    <t>boven 71 kW</t>
  </si>
  <si>
    <t>Energieklasse A+++ of hoger</t>
  </si>
  <si>
    <t>Energieklasse A++</t>
  </si>
  <si>
    <t>Energieklasse A+</t>
  </si>
  <si>
    <t>Keuzelijst datum installatie warmtepomp</t>
  </si>
  <si>
    <t>Samengestelde categorie-omschrijving t.b.v. zoeken in tabellen warmtepomp</t>
  </si>
  <si>
    <t>Geen aansluiting warmtenet</t>
  </si>
  <si>
    <t>Aansluiting op een warmtenet</t>
  </si>
  <si>
    <t>Geen aansluiting op een warmtenet</t>
  </si>
  <si>
    <t xml:space="preserve">Aansluiting op een warmtenet </t>
  </si>
  <si>
    <t>Keuzelijst datum aansluiting op een warmtenet</t>
  </si>
  <si>
    <t>Keuzelijst datum installatie zonneboiler</t>
  </si>
  <si>
    <t>Samengestelde categorie-omschrijving t.b.v. zoeken in tabellen zonneboiler</t>
  </si>
  <si>
    <r>
      <t xml:space="preserve">Zonneboiler </t>
    </r>
    <r>
      <rPr>
        <sz val="11"/>
        <color theme="1"/>
        <rFont val="Calibri"/>
        <family val="2"/>
      </rPr>
      <t>≤ 5 m</t>
    </r>
    <r>
      <rPr>
        <vertAlign val="superscript"/>
        <sz val="11"/>
        <color theme="1"/>
        <rFont val="Calibri"/>
        <family val="2"/>
      </rPr>
      <t>2</t>
    </r>
    <r>
      <rPr>
        <sz val="11"/>
        <color theme="1"/>
        <rFont val="Calibri"/>
        <family val="2"/>
        <scheme val="minor"/>
      </rPr>
      <t xml:space="preserve"> Op of ná 1 januari 2024</t>
    </r>
  </si>
  <si>
    <r>
      <t xml:space="preserve">Zonneboiler &gt; 5 en </t>
    </r>
    <r>
      <rPr>
        <sz val="11"/>
        <color theme="1"/>
        <rFont val="Calibri"/>
        <family val="2"/>
      </rPr>
      <t>≤ 10 m</t>
    </r>
    <r>
      <rPr>
        <vertAlign val="superscript"/>
        <sz val="11"/>
        <color theme="1"/>
        <rFont val="Calibri"/>
        <family val="2"/>
      </rPr>
      <t>2</t>
    </r>
    <r>
      <rPr>
        <sz val="11"/>
        <color theme="1"/>
        <rFont val="Calibri"/>
        <family val="2"/>
        <scheme val="minor"/>
      </rPr>
      <t xml:space="preserve"> Op of ná 1 januari 2024</t>
    </r>
  </si>
  <si>
    <r>
      <t xml:space="preserve">Zonneboilercombi </t>
    </r>
    <r>
      <rPr>
        <sz val="11"/>
        <color theme="1"/>
        <rFont val="Calibri"/>
        <family val="2"/>
      </rPr>
      <t>≤ 5 m</t>
    </r>
    <r>
      <rPr>
        <vertAlign val="superscript"/>
        <sz val="11"/>
        <color theme="1"/>
        <rFont val="Calibri"/>
        <family val="2"/>
      </rPr>
      <t>2</t>
    </r>
    <r>
      <rPr>
        <sz val="11"/>
        <color theme="1"/>
        <rFont val="Calibri"/>
        <family val="2"/>
        <scheme val="minor"/>
      </rPr>
      <t xml:space="preserve"> Op of ná 1 januari 2024</t>
    </r>
  </si>
  <si>
    <r>
      <t xml:space="preserve">Zonneboilercombi &gt; 5 en </t>
    </r>
    <r>
      <rPr>
        <sz val="11"/>
        <color theme="1"/>
        <rFont val="Calibri"/>
        <family val="2"/>
      </rPr>
      <t>≤ 10 m</t>
    </r>
    <r>
      <rPr>
        <vertAlign val="superscript"/>
        <sz val="11"/>
        <color theme="1"/>
        <rFont val="Calibri"/>
        <family val="2"/>
      </rPr>
      <t>2</t>
    </r>
    <r>
      <rPr>
        <sz val="11"/>
        <color theme="1"/>
        <rFont val="Calibri"/>
        <family val="2"/>
        <scheme val="minor"/>
      </rPr>
      <t xml:space="preserve"> Op of ná 1 januari 2024</t>
    </r>
  </si>
  <si>
    <t xml:space="preserve">Energie-efficiency klasse voor dit type warmtepomp moet minimaal A++ zijn bij installatie vanaf 1 januari 2024.  </t>
  </si>
  <si>
    <r>
      <t xml:space="preserve">Biobased isolatiemaatregelen uitgevoerd vanaf </t>
    </r>
    <r>
      <rPr>
        <b/>
        <sz val="10"/>
        <color theme="1"/>
        <rFont val="Calibri"/>
        <family val="2"/>
        <scheme val="minor"/>
      </rPr>
      <t>1 januari 2024</t>
    </r>
    <r>
      <rPr>
        <sz val="10"/>
        <color theme="1"/>
        <rFont val="Calibri"/>
        <family val="2"/>
        <scheme val="minor"/>
      </rPr>
      <t xml:space="preserve"> komen in aanmerking voor een MKI-bonus.</t>
    </r>
  </si>
  <si>
    <r>
      <t>Subsidiabel oppervlak min. (m</t>
    </r>
    <r>
      <rPr>
        <vertAlign val="superscript"/>
        <sz val="10"/>
        <color theme="1"/>
        <rFont val="Calibri"/>
        <family val="2"/>
        <scheme val="minor"/>
      </rPr>
      <t>2</t>
    </r>
    <r>
      <rPr>
        <sz val="10"/>
        <color theme="1"/>
        <rFont val="Calibri"/>
        <family val="2"/>
        <scheme val="minor"/>
      </rPr>
      <t>) - max. (m</t>
    </r>
    <r>
      <rPr>
        <vertAlign val="superscript"/>
        <sz val="10"/>
        <color theme="1"/>
        <rFont val="Calibri"/>
        <family val="2"/>
        <scheme val="minor"/>
      </rPr>
      <t>2</t>
    </r>
    <r>
      <rPr>
        <sz val="10"/>
        <color theme="1"/>
        <rFont val="Calibri"/>
        <family val="2"/>
        <scheme val="minor"/>
      </rPr>
      <t>)</t>
    </r>
  </si>
  <si>
    <r>
      <t>Subsidiebedrag per m</t>
    </r>
    <r>
      <rPr>
        <vertAlign val="superscript"/>
        <sz val="10"/>
        <color theme="1"/>
        <rFont val="Calibri"/>
        <family val="2"/>
        <scheme val="minor"/>
      </rPr>
      <t>2</t>
    </r>
    <r>
      <rPr>
        <sz val="10"/>
        <color theme="1"/>
        <rFont val="Calibri"/>
        <family val="2"/>
        <scheme val="minor"/>
      </rPr>
      <t xml:space="preserve"> (€)</t>
    </r>
  </si>
  <si>
    <r>
      <t>Te isoleren oppervlak (m</t>
    </r>
    <r>
      <rPr>
        <vertAlign val="superscript"/>
        <sz val="10"/>
        <color theme="1"/>
        <rFont val="Calibri"/>
        <family val="2"/>
        <scheme val="minor"/>
      </rPr>
      <t>2</t>
    </r>
    <r>
      <rPr>
        <sz val="10"/>
        <color theme="1"/>
        <rFont val="Calibri"/>
        <family val="2"/>
        <scheme val="minor"/>
      </rPr>
      <t>)</t>
    </r>
  </si>
  <si>
    <r>
      <t>Subsidiabele m</t>
    </r>
    <r>
      <rPr>
        <vertAlign val="superscript"/>
        <sz val="10"/>
        <color theme="1"/>
        <rFont val="Calibri"/>
        <family val="2"/>
        <scheme val="minor"/>
      </rPr>
      <t>2</t>
    </r>
    <r>
      <rPr>
        <sz val="10"/>
        <color theme="1"/>
        <rFont val="Calibri"/>
        <family val="2"/>
        <scheme val="minor"/>
      </rPr>
      <t xml:space="preserve"> </t>
    </r>
  </si>
  <si>
    <r>
      <t>Subsidiebedrag maatregel (</t>
    </r>
    <r>
      <rPr>
        <sz val="10"/>
        <color theme="1"/>
        <rFont val="Calibri"/>
        <family val="2"/>
      </rPr>
      <t>€)</t>
    </r>
  </si>
  <si>
    <r>
      <t>MKI-bonus (</t>
    </r>
    <r>
      <rPr>
        <sz val="10"/>
        <color theme="1"/>
        <rFont val="Calibri"/>
        <family val="2"/>
      </rPr>
      <t>€)</t>
    </r>
  </si>
  <si>
    <r>
      <t>Gezamenlijk subsidiabel oppervlak glas+panelen+deuren 
min. (m</t>
    </r>
    <r>
      <rPr>
        <vertAlign val="superscript"/>
        <sz val="10"/>
        <color theme="1"/>
        <rFont val="Calibri"/>
        <family val="2"/>
        <scheme val="minor"/>
      </rPr>
      <t>2</t>
    </r>
    <r>
      <rPr>
        <sz val="10"/>
        <color theme="1"/>
        <rFont val="Calibri"/>
        <family val="2"/>
        <scheme val="minor"/>
      </rPr>
      <t>) - max. (m</t>
    </r>
    <r>
      <rPr>
        <vertAlign val="superscript"/>
        <sz val="10"/>
        <color theme="1"/>
        <rFont val="Calibri"/>
        <family val="2"/>
        <scheme val="minor"/>
      </rPr>
      <t>2</t>
    </r>
    <r>
      <rPr>
        <sz val="10"/>
        <color theme="1"/>
        <rFont val="Calibri"/>
        <family val="2"/>
        <scheme val="minor"/>
      </rPr>
      <t>)</t>
    </r>
  </si>
  <si>
    <r>
      <t>Subsidiabele m</t>
    </r>
    <r>
      <rPr>
        <vertAlign val="superscript"/>
        <sz val="10"/>
        <color theme="1"/>
        <rFont val="Calibri"/>
        <family val="2"/>
        <scheme val="minor"/>
      </rPr>
      <t>2</t>
    </r>
    <r>
      <rPr>
        <sz val="10"/>
        <color theme="1"/>
        <rFont val="Calibri"/>
        <family val="2"/>
        <scheme val="minor"/>
      </rPr>
      <t xml:space="preserve"> (rekening houdend met 45 m</t>
    </r>
    <r>
      <rPr>
        <vertAlign val="superscript"/>
        <sz val="10"/>
        <color theme="1"/>
        <rFont val="Calibri"/>
        <family val="2"/>
        <scheme val="minor"/>
      </rPr>
      <t xml:space="preserve">2 </t>
    </r>
    <r>
      <rPr>
        <sz val="10"/>
        <color theme="1"/>
        <rFont val="Calibri"/>
        <family val="2"/>
        <scheme val="minor"/>
      </rPr>
      <t>maximum)</t>
    </r>
  </si>
  <si>
    <r>
      <t>Totaal glas, deuren, panelen m</t>
    </r>
    <r>
      <rPr>
        <b/>
        <vertAlign val="superscript"/>
        <sz val="10"/>
        <color theme="1"/>
        <rFont val="Calibri"/>
        <family val="2"/>
        <scheme val="minor"/>
      </rPr>
      <t>2</t>
    </r>
    <r>
      <rPr>
        <b/>
        <sz val="10"/>
        <color theme="1"/>
        <rFont val="Calibri"/>
        <family val="2"/>
        <scheme val="minor"/>
      </rPr>
      <t>:</t>
    </r>
  </si>
  <si>
    <r>
      <t>Totale indicatieve subsidiebedrag (</t>
    </r>
    <r>
      <rPr>
        <b/>
        <sz val="13"/>
        <color theme="1"/>
        <rFont val="Calibri"/>
        <family val="2"/>
      </rPr>
      <t>€):</t>
    </r>
  </si>
  <si>
    <r>
      <t>Subsidiebedrag aansluiting op warmtenet (</t>
    </r>
    <r>
      <rPr>
        <sz val="10"/>
        <rFont val="Calibri"/>
        <family val="2"/>
      </rPr>
      <t>€)</t>
    </r>
    <r>
      <rPr>
        <sz val="10"/>
        <rFont val="Calibri"/>
        <family val="2"/>
        <scheme val="minor"/>
      </rPr>
      <t>:</t>
    </r>
  </si>
  <si>
    <r>
      <t>Subsidiebedrag zonneboiler (</t>
    </r>
    <r>
      <rPr>
        <sz val="10"/>
        <rFont val="Calibri"/>
        <family val="2"/>
      </rPr>
      <t>€)</t>
    </r>
    <r>
      <rPr>
        <sz val="10"/>
        <rFont val="Calibri"/>
        <family val="2"/>
        <scheme val="minor"/>
      </rPr>
      <t>:</t>
    </r>
  </si>
  <si>
    <t>Af te drukken overzicht gekozen maatregelen en subsidiebedragen</t>
  </si>
  <si>
    <t>Subsidiabel oppervlak (m2)</t>
  </si>
  <si>
    <t>Binnen-of buitengevelisolatie (incl. MKI-bonus)</t>
  </si>
  <si>
    <t>Spouwmuurisolatie (incl. MKI-bonus)</t>
  </si>
  <si>
    <t>Isolatiemaatregelen</t>
  </si>
  <si>
    <t>HR++ glas</t>
  </si>
  <si>
    <t>Triple glas</t>
  </si>
  <si>
    <r>
      <t xml:space="preserve">Isolerende panelen in kozijnen, U </t>
    </r>
    <r>
      <rPr>
        <sz val="11"/>
        <color theme="1"/>
        <rFont val="Calibri"/>
        <family val="2"/>
      </rPr>
      <t>≤</t>
    </r>
    <r>
      <rPr>
        <sz val="11"/>
        <color theme="1"/>
        <rFont val="Calibri"/>
        <family val="2"/>
        <scheme val="minor"/>
      </rPr>
      <t xml:space="preserve"> 0,7 W/m2K</t>
    </r>
  </si>
  <si>
    <t>Warmtepomp</t>
  </si>
  <si>
    <t>Aansluiting op een warmtenet (inclusief kookvoorziening)</t>
  </si>
  <si>
    <t>Isolerende beglazing, panelen en deuren</t>
  </si>
  <si>
    <t>Totaal subsidiebedrag</t>
  </si>
  <si>
    <t>(indicatief)</t>
  </si>
  <si>
    <r>
      <t>Subsidiebedrag (</t>
    </r>
    <r>
      <rPr>
        <b/>
        <sz val="12"/>
        <color theme="1"/>
        <rFont val="Calibri"/>
        <family val="2"/>
      </rPr>
      <t>€)</t>
    </r>
  </si>
  <si>
    <t>Aansluiting op een warmtenet/kookvoorziening</t>
  </si>
  <si>
    <r>
      <t xml:space="preserve">Isolerende panelen in kozijnen, U </t>
    </r>
    <r>
      <rPr>
        <sz val="11"/>
        <color theme="1"/>
        <rFont val="Calibri"/>
        <family val="2"/>
      </rPr>
      <t>≤</t>
    </r>
    <r>
      <rPr>
        <sz val="11"/>
        <color theme="1"/>
        <rFont val="Calibri"/>
        <family val="2"/>
        <scheme val="minor"/>
      </rPr>
      <t xml:space="preserve"> 1,2 W/m2K</t>
    </r>
  </si>
  <si>
    <r>
      <t xml:space="preserve">Isolerende deur, U </t>
    </r>
    <r>
      <rPr>
        <sz val="11"/>
        <color theme="1"/>
        <rFont val="Calibri"/>
        <family val="2"/>
      </rPr>
      <t>≤</t>
    </r>
    <r>
      <rPr>
        <sz val="11"/>
        <color theme="1"/>
        <rFont val="Calibri"/>
        <family val="2"/>
        <scheme val="minor"/>
      </rPr>
      <t xml:space="preserve"> 1,5 W/m2K</t>
    </r>
  </si>
  <si>
    <r>
      <t xml:space="preserve">Isolerende deur, U </t>
    </r>
    <r>
      <rPr>
        <sz val="11"/>
        <color theme="1"/>
        <rFont val="Calibri"/>
        <family val="2"/>
      </rPr>
      <t>≤</t>
    </r>
    <r>
      <rPr>
        <sz val="11"/>
        <color theme="1"/>
        <rFont val="Calibri"/>
        <family val="2"/>
        <scheme val="minor"/>
      </rPr>
      <t xml:space="preserve"> 1,0 W/m2K</t>
    </r>
  </si>
  <si>
    <r>
      <t>Totaal glas, deuren en panelen (</t>
    </r>
    <r>
      <rPr>
        <b/>
        <sz val="10"/>
        <color theme="1"/>
        <rFont val="Calibri"/>
        <family val="2"/>
      </rPr>
      <t>€)</t>
    </r>
    <r>
      <rPr>
        <b/>
        <sz val="10"/>
        <color theme="1"/>
        <rFont val="Calibri"/>
        <family val="2"/>
        <scheme val="minor"/>
      </rPr>
      <t>:</t>
    </r>
  </si>
  <si>
    <r>
      <t xml:space="preserve">Deze rekentool is voor woningeigenaren (eigenaar-bewoners). Vul deze rekentool volledig in en krijg een goede indicatie van het te verwachten subsidiebedrag. Deze tool houdt rekening met het aantal maatregelen en wanneer die zijn uitgevoerd. 
Aan de berekening kunnen geen rechten worden ontleend.  
</t>
    </r>
    <r>
      <rPr>
        <i/>
        <sz val="11"/>
        <rFont val="Calibri"/>
        <family val="2"/>
        <scheme val="minor"/>
      </rPr>
      <t>* Voor monumenten is de "Rekentool ISDE voor woningeigenaren van monumenten" beschikbaar.</t>
    </r>
  </si>
  <si>
    <r>
      <t>MKI-bonus 
per m</t>
    </r>
    <r>
      <rPr>
        <vertAlign val="superscript"/>
        <sz val="10"/>
        <color theme="1"/>
        <rFont val="Calibri"/>
        <family val="2"/>
        <scheme val="minor"/>
      </rPr>
      <t>2</t>
    </r>
    <r>
      <rPr>
        <sz val="10"/>
        <color theme="1"/>
        <rFont val="Calibri"/>
        <family val="2"/>
        <scheme val="minor"/>
      </rPr>
      <t xml:space="preserve"> (€)</t>
    </r>
  </si>
  <si>
    <t>Rekentool ISDE voor woningeigenaren (met uitzondering van monumenten*)</t>
  </si>
  <si>
    <r>
      <t xml:space="preserve">Eerder ontvangen ISDE-subsidie voor maatregel </t>
    </r>
    <r>
      <rPr>
        <sz val="11"/>
        <rFont val="Calibri"/>
        <family val="2"/>
      </rPr>
      <t xml:space="preserve">≤ </t>
    </r>
    <r>
      <rPr>
        <sz val="11"/>
        <rFont val="Calibri"/>
        <family val="2"/>
        <scheme val="minor"/>
      </rPr>
      <t>24 maanden geleden uitgevoerd</t>
    </r>
  </si>
  <si>
    <t>Totaal aantal geselecteerde cateogorieën (&gt;1 = verdubbeling tarief)</t>
  </si>
  <si>
    <t>Warmtepomp 2025</t>
  </si>
  <si>
    <t>Vast bedrag 2025</t>
  </si>
  <si>
    <t>Verhoging door energieklasse 2025</t>
  </si>
  <si>
    <t>Totaal vast bedrag 2025</t>
  </si>
  <si>
    <t>Extra bedrag/kW 2025</t>
  </si>
  <si>
    <t>Samengestelde categorie-omschrijving  2024</t>
  </si>
  <si>
    <t>Lucht-water &lt; 1 kW Energieklasse A+++ of hoger 2025</t>
  </si>
  <si>
    <t>Lucht-water &lt; 1 kW Energieklasse A++ 2025</t>
  </si>
  <si>
    <t>Lucht-water &lt; 1 kW Energieklasse A+ 2025</t>
  </si>
  <si>
    <t>Lucht-water &lt; 1 kW Energieklasse A t/m G 2025</t>
  </si>
  <si>
    <t>Lucht-water ≥ 71 kW en ≤ 400 kW Niet van toepassing 2025</t>
  </si>
  <si>
    <t>Lucht-water ≥ 71 kW en ≤ 400 kW Energieklasse A+++ of hoger 2025</t>
  </si>
  <si>
    <t>Lucht-water ≥ 71 kW en ≤ 400 kW Energieklasse A++ 2025</t>
  </si>
  <si>
    <t>Lucht-water ≥ 71 kW en ≤ 400 kW Energieklasse A+ 2025</t>
  </si>
  <si>
    <t>Lucht-water ≥ 71 kW en ≤ 400 kW Energieklasse A t/m G 2025</t>
  </si>
  <si>
    <t>Grond-water &lt; 1 kW Energieklasse A+++ of hoger 2025</t>
  </si>
  <si>
    <t>Grond-water &lt; 1 kW Energieklasse A++ 2025</t>
  </si>
  <si>
    <t>Grond-water &lt; 1 kW Energieklasse A+ 2025</t>
  </si>
  <si>
    <t>Grond-water &lt; 1 kW Energieklasse A t/m G 2025</t>
  </si>
  <si>
    <t>Grond-water ≥ 1 kW en &lt; 10 kW Energieklasse A+++ of hoger 2025</t>
  </si>
  <si>
    <t>Grond-water ≥ 1 kW en &lt; 10 kW Energieklasse A++ 2025</t>
  </si>
  <si>
    <t>Grond-water ≥ 1 kW en &lt; 10 kW Energieklasse A+ 2025</t>
  </si>
  <si>
    <t>Grond-water ≥ 1 kW en &lt; 10 kW Energieklasse A t/m G 2025</t>
  </si>
  <si>
    <t>Grond-water ≥ 10 kW en ≤ 70 kW Energieklasse A+++ of hoger 2025</t>
  </si>
  <si>
    <t>Grond-water ≥ 10 kW en ≤ 70 kW Energieklasse A++ 2025</t>
  </si>
  <si>
    <t>Grond-water ≥ 10 kW en ≤ 70 kW Energieklasse A+ 2025</t>
  </si>
  <si>
    <t>Grond-water ≥ 10 kW en ≤ 70 kW Energieklasse A t/m G 2025</t>
  </si>
  <si>
    <t>Grond-water ≥ 71 kW en ≤ 400 kW Niet van toepassing 2025</t>
  </si>
  <si>
    <t>Grond-water ≥ 71 kW en ≤ 400 kW Energieklasse A+++ of hoger 2025</t>
  </si>
  <si>
    <t>Grond-water ≥ 71 kW en ≤ 400 kW Energieklasse A++ 2025</t>
  </si>
  <si>
    <t>Grond-water ≥ 71 kW en ≤ 400 kW Energieklasse A+ 2025</t>
  </si>
  <si>
    <t>Grond-water ≥ 71 kW en ≤ 400 kW Energieklasse A t/m G 2025</t>
  </si>
  <si>
    <t>Water-water &lt; 1 kW Energieklasse A+++ of hoger 2025</t>
  </si>
  <si>
    <t>Water-water &lt; 1 kW Energieklasse A++ 2025</t>
  </si>
  <si>
    <t>Water-water &lt; 1 kW Energieklasse A+ 2025</t>
  </si>
  <si>
    <t>Water-water &lt; 1 kW Energieklasse A t/m G 2025</t>
  </si>
  <si>
    <t>Water-water ≥ 1 kW en &lt; 10 kW Energieklasse A+++ of hoger 2025</t>
  </si>
  <si>
    <t>Water-water ≥ 1 kW en &lt; 10 kW Energieklasse A++2025</t>
  </si>
  <si>
    <t>Water-water ≥ 1 kW en &lt; 10 kW Energieklasse A+2025</t>
  </si>
  <si>
    <t>Water-water ≥ 1 kW en &lt; 10 kW Energieklasse A t/m G 2025</t>
  </si>
  <si>
    <t>Water-water ≥ 10 kW en ≤ 70 kW Energieklasse A+++ of hoger 2025</t>
  </si>
  <si>
    <t>Water-water ≥ 10 kW en ≤ 70 kW Energieklasse A++ 2025</t>
  </si>
  <si>
    <t>Water-water ≥ 10 kW en ≤ 70 kW Energieklasse A+ 2025</t>
  </si>
  <si>
    <t>Water-water ≥ 10 kW en ≤ 70 kW Energieklasse A t/m G 2025</t>
  </si>
  <si>
    <t>Water-water ≥ 71 kW en ≤ 400 kW Niet van toepassing 2025</t>
  </si>
  <si>
    <t>Water-water ≥ 71 kW en ≤ 400 kW Energieklasse A+++ of hoger 2025</t>
  </si>
  <si>
    <t>Water-water ≥ 71 kW en ≤ 400 kW Energieklasse A++ 2025</t>
  </si>
  <si>
    <t>Water-water ≥ 71 kW en ≤ 400 kW Energieklasse A+ 2025</t>
  </si>
  <si>
    <t>Water-water ≥ 71 kW en ≤ 400 kW Energieklasse A t/m G 2025</t>
  </si>
  <si>
    <t>Lucht-water ≥ 1 kW en ≤ 70 kW Energieklasse A+++ of hoger 20252024</t>
  </si>
  <si>
    <t>Lucht-water ≥ 1 kW en ≤ 70 kW Energieklasse A++ 20252024</t>
  </si>
  <si>
    <t>Lucht-water ≥ 1 kW en ≤ 70 kW Energieklasse A+ 20252024</t>
  </si>
  <si>
    <t>Lucht-water ≥ 1 kW en ≤ 70 kW Energieklasse A t/m G 20252024</t>
  </si>
  <si>
    <t>Lucht-water ≥ 1 kW en ≤ 70 kW Energieklasse A+++ of hoger 20252025</t>
  </si>
  <si>
    <t>Lucht-water ≥ 1 kW en ≤ 70 kW Energieklasse A++ 20252025</t>
  </si>
  <si>
    <t>Lucht-water ≥ 1 kW en ≤ 70 kW Energieklasse A+ 20252025</t>
  </si>
  <si>
    <t>Lucht-water ≥ 1 kW en ≤ 70 kW Energieklasse A t/m G 20252025</t>
  </si>
  <si>
    <r>
      <t>Minimum m</t>
    </r>
    <r>
      <rPr>
        <vertAlign val="superscript"/>
        <sz val="11"/>
        <rFont val="Calibri"/>
        <family val="2"/>
        <scheme val="minor"/>
      </rPr>
      <t>2</t>
    </r>
  </si>
  <si>
    <t xml:space="preserve">MKI-bonus isolatiemateriaal </t>
  </si>
  <si>
    <t>Isolerende maatregel 2024</t>
  </si>
  <si>
    <r>
      <t>Maximum m</t>
    </r>
    <r>
      <rPr>
        <vertAlign val="superscript"/>
        <sz val="11"/>
        <color theme="1"/>
        <rFont val="Calibri"/>
        <family val="2"/>
        <scheme val="minor"/>
      </rPr>
      <t>2</t>
    </r>
  </si>
  <si>
    <t>Samengestelde categorie-omschrijving 2024</t>
  </si>
  <si>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isolatie bij één maatregel 2024</t>
    </r>
  </si>
  <si>
    <t>Geen zolder- of vlieringisolatie</t>
  </si>
  <si>
    <t>Kies zolder- of vlieringisolatie:</t>
  </si>
  <si>
    <t>Keuzelijst datum uitvoering dakisolatie</t>
  </si>
  <si>
    <r>
      <t xml:space="preserve">Vraag aanschafdatum (alleen bij lucht-waterwarmtepomp  </t>
    </r>
    <r>
      <rPr>
        <b/>
        <sz val="11"/>
        <rFont val="Aptos Narrow"/>
        <family val="2"/>
      </rPr>
      <t>≥</t>
    </r>
    <r>
      <rPr>
        <b/>
        <sz val="11"/>
        <rFont val="Calibri"/>
        <family val="2"/>
      </rPr>
      <t xml:space="preserve"> 1kW en </t>
    </r>
    <r>
      <rPr>
        <b/>
        <sz val="11"/>
        <rFont val="Aptos Narrow"/>
        <family val="2"/>
      </rPr>
      <t>≤</t>
    </r>
    <r>
      <rPr>
        <b/>
        <sz val="11"/>
        <rFont val="Calibri"/>
        <family val="2"/>
      </rPr>
      <t xml:space="preserve"> 70 kW)</t>
    </r>
  </si>
  <si>
    <t>Keuzelijst zolder- of vlieringisolatie</t>
  </si>
  <si>
    <t>Keuzelijst datum uitvoering zolder- of vlieringisolatie</t>
  </si>
  <si>
    <t>Warmtepomp 2025 met tarief 2024</t>
  </si>
  <si>
    <t>Samengestelde categorie-omschrijving  2025 (aanschaf 2024 WP lucht-water 1-70 kW, vermogen &lt; 13 kW)</t>
  </si>
  <si>
    <r>
      <t xml:space="preserve">Samengestelde categorie-omschr.  2025 (lucht-water 1-70 kW, aanschaf 2024 verm. </t>
    </r>
    <r>
      <rPr>
        <b/>
        <sz val="11"/>
        <color theme="1"/>
        <rFont val="Aptos Narrow"/>
        <family val="2"/>
      </rPr>
      <t>≥</t>
    </r>
    <r>
      <rPr>
        <b/>
        <sz val="8.25"/>
        <color theme="1"/>
        <rFont val="Calibri"/>
        <family val="2"/>
      </rPr>
      <t xml:space="preserve"> 13 kW of aanschaf 2025</t>
    </r>
    <r>
      <rPr>
        <b/>
        <sz val="11"/>
        <color theme="1"/>
        <rFont val="Calibri"/>
        <family val="2"/>
        <scheme val="minor"/>
      </rPr>
      <t>)</t>
    </r>
  </si>
  <si>
    <t>Samengestelde categorie-omschrijving t.b.v. zoeken in tabellen dakisolatie</t>
  </si>
  <si>
    <t>Samengestelde categorie-omschrijving t.b.v. zoeken in tabellen zolder-of vlieringisolatie</t>
  </si>
  <si>
    <t>Keuzelijst datum uitvoering gevelisolatie</t>
  </si>
  <si>
    <t>Samengestelde categorie-omschrijving t.b.v. zoeken in tabellen gevelisolatie</t>
  </si>
  <si>
    <t>Keuzelijst datum uitvoering spouwmuurisolatie</t>
  </si>
  <si>
    <t>Samengestelde categorie-omschrijving t.b.v. zoeken in tabellen spouwmuurisolatie</t>
  </si>
  <si>
    <t>Keuzelijst bodemisolatie</t>
  </si>
  <si>
    <t>Geen bodemisolatie</t>
  </si>
  <si>
    <t xml:space="preserve">Dakisolatie en zolder/vlieringisolatie vormen samen één maatregel en kunnen alleen gecombineerd worden als ze niet boven elkaar in dezelfde ruimte worden aangebracht. </t>
  </si>
  <si>
    <t xml:space="preserve">Vloerisolatie en bodemisolatie vormen samen één maatregel en kunnen alleen gecombineerd worden als ze niet boven elkaar in dezelfde ruimte worden aangebracht. </t>
  </si>
  <si>
    <t>Multiplier (2= verdubbeling)</t>
  </si>
  <si>
    <t>Bedrag €/m2 isolatie maatregel</t>
  </si>
  <si>
    <t>Samengestelde categorie-omschrijving</t>
  </si>
  <si>
    <r>
      <t xml:space="preserve">Dakisolatie, Rd </t>
    </r>
    <r>
      <rPr>
        <sz val="11"/>
        <color theme="1"/>
        <rFont val="Calibri"/>
        <family val="2"/>
      </rPr>
      <t xml:space="preserve">≥ 3,5 </t>
    </r>
    <r>
      <rPr>
        <sz val="11"/>
        <color theme="1"/>
        <rFont val="Calibri"/>
        <family val="2"/>
        <scheme val="minor"/>
      </rPr>
      <t>m</t>
    </r>
    <r>
      <rPr>
        <vertAlign val="superscript"/>
        <sz val="11"/>
        <color theme="1"/>
        <rFont val="Calibri"/>
        <family val="2"/>
        <scheme val="minor"/>
      </rPr>
      <t>2</t>
    </r>
    <r>
      <rPr>
        <sz val="11"/>
        <color theme="1"/>
        <rFont val="Calibri"/>
        <family val="2"/>
        <scheme val="minor"/>
      </rPr>
      <t xml:space="preserve"> K/W Niet van toepassing</t>
    </r>
  </si>
  <si>
    <r>
      <t>Zolder-of vlieringisolatie, Rd ≥ 3,5 m</t>
    </r>
    <r>
      <rPr>
        <vertAlign val="superscript"/>
        <sz val="11"/>
        <color theme="1"/>
        <rFont val="Calibri"/>
        <family val="2"/>
        <scheme val="minor"/>
      </rPr>
      <t>2</t>
    </r>
    <r>
      <rPr>
        <sz val="11"/>
        <color theme="1"/>
        <rFont val="Calibri"/>
        <family val="2"/>
        <scheme val="minor"/>
      </rPr>
      <t xml:space="preserve"> K/W Niet van toepassing</t>
    </r>
  </si>
  <si>
    <r>
      <t>Binnen-of buitengevelisolatie, Rd ≥ 3,5m</t>
    </r>
    <r>
      <rPr>
        <vertAlign val="superscript"/>
        <sz val="11"/>
        <color theme="1"/>
        <rFont val="Calibri"/>
        <family val="2"/>
        <scheme val="minor"/>
      </rPr>
      <t>2</t>
    </r>
    <r>
      <rPr>
        <sz val="11"/>
        <color theme="1"/>
        <rFont val="Calibri"/>
        <family val="2"/>
        <scheme val="minor"/>
      </rPr>
      <t xml:space="preserve"> K/W Niet van toepassing</t>
    </r>
  </si>
  <si>
    <r>
      <t>Spouwmuurisolatie, Rd ≥ 1,1 m</t>
    </r>
    <r>
      <rPr>
        <vertAlign val="superscript"/>
        <sz val="11"/>
        <color theme="1"/>
        <rFont val="Calibri"/>
        <family val="2"/>
        <scheme val="minor"/>
      </rPr>
      <t>2</t>
    </r>
    <r>
      <rPr>
        <sz val="11"/>
        <color theme="1"/>
        <rFont val="Calibri"/>
        <family val="2"/>
        <scheme val="minor"/>
      </rPr>
      <t xml:space="preserve"> K/W Niet van toepassing</t>
    </r>
  </si>
  <si>
    <r>
      <t>Vloerisolatie, Rd ≥ 3,5m</t>
    </r>
    <r>
      <rPr>
        <vertAlign val="superscript"/>
        <sz val="11"/>
        <color theme="1"/>
        <rFont val="Calibri"/>
        <family val="2"/>
        <scheme val="minor"/>
      </rPr>
      <t>2</t>
    </r>
    <r>
      <rPr>
        <sz val="11"/>
        <color theme="1"/>
        <rFont val="Calibri"/>
        <family val="2"/>
        <scheme val="minor"/>
      </rPr>
      <t xml:space="preserve"> K/W Niet van toepassing</t>
    </r>
  </si>
  <si>
    <r>
      <t>Bodemisolatie, Rd ≥ 3,5m</t>
    </r>
    <r>
      <rPr>
        <vertAlign val="superscript"/>
        <sz val="11"/>
        <color theme="1"/>
        <rFont val="Calibri"/>
        <family val="2"/>
        <scheme val="minor"/>
      </rPr>
      <t>2</t>
    </r>
    <r>
      <rPr>
        <sz val="11"/>
        <color theme="1"/>
        <rFont val="Calibri"/>
        <family val="2"/>
        <scheme val="minor"/>
      </rPr>
      <t xml:space="preserve"> K/W Niet van toepassing</t>
    </r>
  </si>
  <si>
    <t>Geen bodemisolatie Niet van toepassing</t>
  </si>
  <si>
    <t>Geen dakisolatie Niet van toepassing</t>
  </si>
  <si>
    <t>Geen zolder- of vlieringisolatie Niet van toepassing</t>
  </si>
  <si>
    <t>Geen gevelisolatie Niet van toepassing</t>
  </si>
  <si>
    <t>Geen spouwmuurisolatie Niet van toepassing</t>
  </si>
  <si>
    <t>Geen vloerisolatie Niet van toepassing</t>
  </si>
  <si>
    <t>Dakisolatie, Rd ≥ 3,5 m2 K/W</t>
  </si>
  <si>
    <t>Zolder-of vlieringisolatie, Rd ≥ 3,5 m2 K/W</t>
  </si>
  <si>
    <t>Binnen-of buitengevelisolatie, Rd ≥ 3,5m2 K/W</t>
  </si>
  <si>
    <t>Spouwmuurisolatie, Rd ≥ 1,1 m2 K/W</t>
  </si>
  <si>
    <t>Vloerisolatie, Rd ≥ 3,5m2 K/W</t>
  </si>
  <si>
    <t>Bodemisolatie, Rd ≥ 3,5m2 K/W</t>
  </si>
  <si>
    <t>Isolerende maatregel beginschermen uitvoeringsjaar niet van toepassing</t>
  </si>
  <si>
    <t>Samengestelde categorie-omschrijving t.b.v. zoeken in tabellen bodemisolatie</t>
  </si>
  <si>
    <t>Zolder-of vlieringisolatie (incl. MKI-bonus)</t>
  </si>
  <si>
    <t>Dakisolatie (incl. MKI-bonus)</t>
  </si>
  <si>
    <t>Vloerisolatie (inc. MKI-bonus)</t>
  </si>
  <si>
    <t>Bodemisolatie (inc. MKI-bonus)</t>
  </si>
  <si>
    <t>Keuzelijst datum uitvoering vloerisolatie</t>
  </si>
  <si>
    <t>Samengestelde categorie-omschrijving t.b.v. zoeken in tabellen vloerisolatie</t>
  </si>
  <si>
    <t>Keuzelijst datum uitvoering bodemisolatie</t>
  </si>
  <si>
    <t>WAAR = biobased zolder-of vlieringisolatie</t>
  </si>
  <si>
    <t>WAAR = biobased bodemisolatie</t>
  </si>
  <si>
    <t>Dakisolatie en/of zolder-of vlieringisolatie</t>
  </si>
  <si>
    <t>Vloerisolatie en/of bodemisolatie</t>
  </si>
  <si>
    <t>In de meldcodelijst vindt u alle meldcodes en subsidiebedragen voor zonneboilers. De meldcodelijst is een overzicht van merk- en productnamen die zijn goedgekeurd en in aanmerking komen voor subsidie.</t>
  </si>
  <si>
    <t>Meldcodelijst zonneboilers</t>
  </si>
  <si>
    <t>In de meldcodelijst vindt u alle meldcodes en subsidiebedragen voor warmtepompen. De meldcodelijst is een overzicht van merk- en productnamen die zijn goedgekeurd en in aanmerking komen voor subsidie.</t>
  </si>
  <si>
    <t>Meldcodelijst warmtepompen</t>
  </si>
  <si>
    <t>Ondergrens vermogen voor toeslag euro/kW</t>
  </si>
  <si>
    <t>Bovengrens vermogen voor toeslag euro/kW</t>
  </si>
  <si>
    <t>Toeslag euro/kW vermogen (0=nee, 1=ja)</t>
  </si>
  <si>
    <t>Datum uitvoering isolatiemaatregel
 (2 perioden binnen 24 maanden mogelijk)</t>
  </si>
  <si>
    <t>Keuzelijst HR++ glas</t>
  </si>
  <si>
    <t>Keuzelijst datum uitvoering HR++ glas</t>
  </si>
  <si>
    <t>Geen HR++ glas</t>
  </si>
  <si>
    <t>Samengestelde categorie-omschrijvingen t.b.v. zoeken in tabellen HR++ glas</t>
  </si>
  <si>
    <t>Glasmaatregel beginschermen uitvoeringsjaar niet van toepassing</t>
  </si>
  <si>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isolatie bij één maatregel </t>
    </r>
  </si>
  <si>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glasisolatie bij één maatregel</t>
    </r>
  </si>
  <si>
    <t>Geen Triple glas</t>
  </si>
  <si>
    <t>Isolerende glasmaatregel</t>
  </si>
  <si>
    <t>Keuzelijst Triple glas</t>
  </si>
  <si>
    <t>Keuzelijst datum uitvoering Triple glas</t>
  </si>
  <si>
    <t>Samengestelde categorie-omschrijvingen t.b.v. zoeken in tabellen Triple glas</t>
  </si>
  <si>
    <t>Geen HR++ glas ONWAAR</t>
  </si>
  <si>
    <t>Geen Triple glas ONWAAR</t>
  </si>
  <si>
    <t>HR++ glas ONWAAR</t>
  </si>
  <si>
    <t>Triple glas ONWAAR</t>
  </si>
  <si>
    <t>Voorloop vragen glasopties</t>
  </si>
  <si>
    <t>Geen Isolerende panelen, U ≤ 1,2 W/m2K</t>
  </si>
  <si>
    <t>Isolerende panelen, U ≤ 1,2 W/m2K</t>
  </si>
  <si>
    <t>Keuzelijst Isolerende panelen, U ≤ 1,2 W/m2K</t>
  </si>
  <si>
    <t>Keuzelijst datum uitvoering Isolerende panelen, U ≤ 1,2 W/m2K</t>
  </si>
  <si>
    <r>
      <t>Geen Isolerende panelen, U ≤ 1,2 W/m</t>
    </r>
    <r>
      <rPr>
        <vertAlign val="superscript"/>
        <sz val="11"/>
        <color theme="1"/>
        <rFont val="Calibri"/>
        <family val="2"/>
        <scheme val="minor"/>
      </rPr>
      <t>2</t>
    </r>
    <r>
      <rPr>
        <sz val="11"/>
        <color theme="1"/>
        <rFont val="Calibri"/>
        <family val="2"/>
        <scheme val="minor"/>
      </rPr>
      <t>K ONWAAR</t>
    </r>
  </si>
  <si>
    <r>
      <t>Geen Isolerende panelen, U ≤ 0,7 W/m</t>
    </r>
    <r>
      <rPr>
        <vertAlign val="superscript"/>
        <sz val="11"/>
        <color theme="1"/>
        <rFont val="Calibri"/>
        <family val="2"/>
        <scheme val="minor"/>
      </rPr>
      <t>2</t>
    </r>
    <r>
      <rPr>
        <sz val="11"/>
        <color theme="1"/>
        <rFont val="Calibri"/>
        <family val="2"/>
        <scheme val="minor"/>
      </rPr>
      <t>K ONWAAR</t>
    </r>
  </si>
  <si>
    <r>
      <t>Isolerende panelen, U ≤ 1,2 W/m</t>
    </r>
    <r>
      <rPr>
        <vertAlign val="superscript"/>
        <sz val="11"/>
        <color theme="1"/>
        <rFont val="Calibri"/>
        <family val="2"/>
        <scheme val="minor"/>
      </rPr>
      <t>2</t>
    </r>
    <r>
      <rPr>
        <sz val="11"/>
        <color theme="1"/>
        <rFont val="Calibri"/>
        <family val="2"/>
        <scheme val="minor"/>
      </rPr>
      <t>K ONWAAR</t>
    </r>
  </si>
  <si>
    <r>
      <t>Isolerende panelen, U ≤ 0,7 W/m</t>
    </r>
    <r>
      <rPr>
        <vertAlign val="superscript"/>
        <sz val="11"/>
        <color theme="1"/>
        <rFont val="Calibri"/>
        <family val="2"/>
        <scheme val="minor"/>
      </rPr>
      <t>2</t>
    </r>
    <r>
      <rPr>
        <sz val="11"/>
        <color theme="1"/>
        <rFont val="Calibri"/>
        <family val="2"/>
        <scheme val="minor"/>
      </rPr>
      <t>K ONWAAR</t>
    </r>
  </si>
  <si>
    <t>Keuzelijst Isolerende panelen, U ≤ 0,7 W/m2K</t>
  </si>
  <si>
    <t>Geen Isolerende panelen, U ≤ 0,7 W/m2K</t>
  </si>
  <si>
    <t>Isolerende panelen, U ≤ 0,7 W/m2K</t>
  </si>
  <si>
    <t>Keuzelijst datum uitvoering Isolerende panelen, U ≤ 0,7 W/m2K</t>
  </si>
  <si>
    <t>Samengestelde categorie-omschrijvingen t.b.v. zoeken in tabellen Isolerende panelen, U ≤ 0,7 W/m2K</t>
  </si>
  <si>
    <t>Samengestelde categorie-omschrijvingen t.b.v. zoeken in tabellen Isolerende panelen, U ≤ 1,2 W/m2K</t>
  </si>
  <si>
    <t>Keuzelijst Isolerende deuren, U ≤1,5 W/m2K</t>
  </si>
  <si>
    <t>Geen Isolerende deuren, U ≤ 1,0 W/m2K</t>
  </si>
  <si>
    <t>Isolerende deuren, U ≤ 1,5 W/m2K</t>
  </si>
  <si>
    <t>Geen Isolerende deuren, U ≤ 1,5 W/m2K</t>
  </si>
  <si>
    <t>Isolerende deuren, U ≤ 1,0 W/m2K</t>
  </si>
  <si>
    <t>Keuzelijst Isolerende deuren, U ≤ 1,0 W/m2K</t>
  </si>
  <si>
    <t>Samengestelde categorie-omschrijvingen t.b.v. zoeken in tabellen Isolerende deuren, U ≤ 1,5 W/m2K</t>
  </si>
  <si>
    <t>Samengestelde categorie-omschrijvingen t.b.v. zoeken in tabellen Isolerende deuren, U ≤ 1,0 W/m2K</t>
  </si>
  <si>
    <t>Keuzelijst datum uitvoering Isolerende deuren, U ≤ 1,0 W/m2K</t>
  </si>
  <si>
    <t>Keuzelijst datum uitvoering Isolerende deuren, U ≤ 1,5 W/m2K</t>
  </si>
  <si>
    <t>Geen Isolerende deuren, U ≤ 1,5 W/m2K ONWAAR</t>
  </si>
  <si>
    <t>Geen Isolerende deuren, U ≤ 1,0 W/m2K ONWAAR</t>
  </si>
  <si>
    <t>Isolerende deuren, U ≤ 1,5 W/m2K ONWAAR</t>
  </si>
  <si>
    <t>Isolerende deuren, U ≤ 1,0 W/m2K ONWAAR</t>
  </si>
  <si>
    <t>m2 in 2024</t>
  </si>
  <si>
    <t>Subtellertje glasopties m2 (6 glasopties x 2 periodes = 12 opties )</t>
  </si>
  <si>
    <t>2024 én ≤ 24 maanden geleden</t>
  </si>
  <si>
    <t>Geen dakisolatie 2024 én ≤ 24 maanden geleden</t>
  </si>
  <si>
    <t>Geen zolder- of vlieringisolatie 2024 én ≤ 24 maanden geleden</t>
  </si>
  <si>
    <t>Geen gevelisolatie 2024 én ≤ 24 maanden geleden</t>
  </si>
  <si>
    <t>Geen spouwmuurisolatie 2024 én ≤ 24 maanden geleden</t>
  </si>
  <si>
    <t>Geen vloerisolatie 2024 én ≤ 24 maanden geleden</t>
  </si>
  <si>
    <t>Geen bodemisolatie 2024 én ≤ 24 maanden geleden</t>
  </si>
  <si>
    <r>
      <t xml:space="preserve">Dakisolatie, Rd </t>
    </r>
    <r>
      <rPr>
        <sz val="11"/>
        <color theme="1"/>
        <rFont val="Calibri"/>
        <family val="2"/>
      </rPr>
      <t xml:space="preserve">≥ 3,5 </t>
    </r>
    <r>
      <rPr>
        <sz val="11"/>
        <color theme="1"/>
        <rFont val="Calibri"/>
        <family val="2"/>
        <scheme val="minor"/>
      </rPr>
      <t>m</t>
    </r>
    <r>
      <rPr>
        <vertAlign val="superscript"/>
        <sz val="11"/>
        <color theme="1"/>
        <rFont val="Calibri"/>
        <family val="2"/>
        <scheme val="minor"/>
      </rPr>
      <t>2</t>
    </r>
    <r>
      <rPr>
        <sz val="11"/>
        <color theme="1"/>
        <rFont val="Calibri"/>
        <family val="2"/>
        <scheme val="minor"/>
      </rPr>
      <t xml:space="preserve"> K/W 2024 én ≤ 24 maanden geleden</t>
    </r>
  </si>
  <si>
    <t>Zolder-of vlieringisolatie, Rd ≥ 3,5 m2 K/W 2024 én ≤ 24 maanden geleden</t>
  </si>
  <si>
    <t>Binnen-of buitengevelisolatie, Rd ≥ 3,5m2 K/W 2024 én ≤ 24 maanden geleden</t>
  </si>
  <si>
    <r>
      <t>Spouwmuurisolatie, Rd ≥ 1,1 m</t>
    </r>
    <r>
      <rPr>
        <vertAlign val="superscript"/>
        <sz val="11"/>
        <color theme="1"/>
        <rFont val="Calibri"/>
        <family val="2"/>
        <scheme val="minor"/>
      </rPr>
      <t>2</t>
    </r>
    <r>
      <rPr>
        <sz val="11"/>
        <color theme="1"/>
        <rFont val="Calibri"/>
        <family val="2"/>
        <scheme val="minor"/>
      </rPr>
      <t xml:space="preserve"> K/W 2024 én ≤ 24 maanden geleden</t>
    </r>
  </si>
  <si>
    <r>
      <t>Vloerisolatie, Rd ≥ 3,5m</t>
    </r>
    <r>
      <rPr>
        <vertAlign val="superscript"/>
        <sz val="11"/>
        <color theme="1"/>
        <rFont val="Calibri"/>
        <family val="2"/>
        <scheme val="minor"/>
      </rPr>
      <t>2</t>
    </r>
    <r>
      <rPr>
        <sz val="11"/>
        <color theme="1"/>
        <rFont val="Calibri"/>
        <family val="2"/>
        <scheme val="minor"/>
      </rPr>
      <t xml:space="preserve"> K/W 2024 én ≤ 24 maanden geleden</t>
    </r>
  </si>
  <si>
    <r>
      <t>Bodemisolatie, Rd ≥ 3,5m</t>
    </r>
    <r>
      <rPr>
        <vertAlign val="superscript"/>
        <sz val="11"/>
        <color theme="1"/>
        <rFont val="Calibri"/>
        <family val="2"/>
        <scheme val="minor"/>
      </rPr>
      <t>2</t>
    </r>
    <r>
      <rPr>
        <sz val="11"/>
        <color theme="1"/>
        <rFont val="Calibri"/>
        <family val="2"/>
        <scheme val="minor"/>
      </rPr>
      <t xml:space="preserve"> K/W 2024 én ≤ 24 maanden geleden</t>
    </r>
  </si>
  <si>
    <t>2025-2026</t>
  </si>
  <si>
    <t>Isolerende glasmaatregel 2024</t>
  </si>
  <si>
    <t>Isolerende glasmaatregel 2025-2026</t>
  </si>
  <si>
    <t>Samengestelde categorie-omschrijving 2025-2026</t>
  </si>
  <si>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glasisolatie bij één maatregel in 2025</t>
    </r>
    <r>
      <rPr>
        <sz val="11"/>
        <rFont val="Calibri"/>
        <family val="2"/>
        <scheme val="minor"/>
      </rPr>
      <t>-2026</t>
    </r>
  </si>
  <si>
    <t>Geen HR++ glas 2025-2026</t>
  </si>
  <si>
    <t>Geen Triple glas 2025-2026</t>
  </si>
  <si>
    <r>
      <t>Geen Isolerende panelen, U ≤ 1,2 W/m</t>
    </r>
    <r>
      <rPr>
        <vertAlign val="superscript"/>
        <sz val="11"/>
        <color theme="1"/>
        <rFont val="Calibri"/>
        <family val="2"/>
        <scheme val="minor"/>
      </rPr>
      <t>2</t>
    </r>
    <r>
      <rPr>
        <sz val="11"/>
        <color theme="1"/>
        <rFont val="Calibri"/>
        <family val="2"/>
        <scheme val="minor"/>
      </rPr>
      <t>K 2025-2026</t>
    </r>
  </si>
  <si>
    <r>
      <t>Geen Isolerende panelen, U ≤ 0,7 W/m</t>
    </r>
    <r>
      <rPr>
        <vertAlign val="superscript"/>
        <sz val="11"/>
        <color theme="1"/>
        <rFont val="Calibri"/>
        <family val="2"/>
        <scheme val="minor"/>
      </rPr>
      <t>2</t>
    </r>
    <r>
      <rPr>
        <sz val="11"/>
        <color theme="1"/>
        <rFont val="Calibri"/>
        <family val="2"/>
        <scheme val="minor"/>
      </rPr>
      <t>K 2025-2026</t>
    </r>
  </si>
  <si>
    <t>Geen Isolerende deuren, U ≤ 1,5 W/m2K 2025-2026</t>
  </si>
  <si>
    <t>Geen Isolerende deuren, U ≤ 1,0 W/m2K 2025-2026</t>
  </si>
  <si>
    <t>HR++ glas 2025-2026</t>
  </si>
  <si>
    <t>Triple glas 2025-2026</t>
  </si>
  <si>
    <r>
      <t>Isolerende panelen, U ≤ 1,2 W/m</t>
    </r>
    <r>
      <rPr>
        <vertAlign val="superscript"/>
        <sz val="11"/>
        <color theme="1"/>
        <rFont val="Calibri"/>
        <family val="2"/>
        <scheme val="minor"/>
      </rPr>
      <t>2</t>
    </r>
    <r>
      <rPr>
        <sz val="11"/>
        <color theme="1"/>
        <rFont val="Calibri"/>
        <family val="2"/>
        <scheme val="minor"/>
      </rPr>
      <t>K 2025-2026</t>
    </r>
  </si>
  <si>
    <r>
      <t>Isolerende panelen, U ≤ 0,7 W/m</t>
    </r>
    <r>
      <rPr>
        <vertAlign val="superscript"/>
        <sz val="11"/>
        <color theme="1"/>
        <rFont val="Calibri"/>
        <family val="2"/>
        <scheme val="minor"/>
      </rPr>
      <t>2</t>
    </r>
    <r>
      <rPr>
        <sz val="11"/>
        <color theme="1"/>
        <rFont val="Calibri"/>
        <family val="2"/>
        <scheme val="minor"/>
      </rPr>
      <t>K 2025-2026</t>
    </r>
  </si>
  <si>
    <t>Isolerende deuren, U ≤ 1,5 W/m2K 2025-2026</t>
  </si>
  <si>
    <t>Isolerende deuren, U ≤ 1,0 W/m2K 2025-2026</t>
  </si>
  <si>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glasisolatie bij één maatregel in 2024</t>
    </r>
  </si>
  <si>
    <t>Geen HR++ glas 2024 én ≤ 24 maanden geleden</t>
  </si>
  <si>
    <t>Geen Triple glas 2024 én ≤ 24 maanden geleden</t>
  </si>
  <si>
    <r>
      <t>Geen Isolerende panelen, U ≤ 1,2 W/m</t>
    </r>
    <r>
      <rPr>
        <vertAlign val="superscript"/>
        <sz val="11"/>
        <color theme="1"/>
        <rFont val="Calibri"/>
        <family val="2"/>
        <scheme val="minor"/>
      </rPr>
      <t>2</t>
    </r>
    <r>
      <rPr>
        <sz val="11"/>
        <color theme="1"/>
        <rFont val="Calibri"/>
        <family val="2"/>
        <scheme val="minor"/>
      </rPr>
      <t>K 2024 én ≤ 24 maanden geleden</t>
    </r>
  </si>
  <si>
    <r>
      <t>Geen Isolerende panelen, U ≤ 0,7 W/m</t>
    </r>
    <r>
      <rPr>
        <vertAlign val="superscript"/>
        <sz val="11"/>
        <color theme="1"/>
        <rFont val="Calibri"/>
        <family val="2"/>
        <scheme val="minor"/>
      </rPr>
      <t>2</t>
    </r>
    <r>
      <rPr>
        <sz val="11"/>
        <color theme="1"/>
        <rFont val="Calibri"/>
        <family val="2"/>
        <scheme val="minor"/>
      </rPr>
      <t>K 2024 én ≤ 24 maanden geleden</t>
    </r>
  </si>
  <si>
    <t>Geen Isolerende deuren, U ≤ 1,5 W/m2K 2024 én ≤ 24 maanden geleden</t>
  </si>
  <si>
    <t>Geen Isolerende deuren, U ≤ 1,0 W/m2K 2024 én ≤ 24 maanden geleden</t>
  </si>
  <si>
    <t>HR++ glas 2024 én ≤ 24 maanden geleden</t>
  </si>
  <si>
    <t>Triple glas 2024 én ≤ 24 maanden geleden</t>
  </si>
  <si>
    <r>
      <t>Isolerende panelen, U ≤ 1,2 W/m</t>
    </r>
    <r>
      <rPr>
        <vertAlign val="superscript"/>
        <sz val="11"/>
        <color theme="1"/>
        <rFont val="Calibri"/>
        <family val="2"/>
        <scheme val="minor"/>
      </rPr>
      <t>2</t>
    </r>
    <r>
      <rPr>
        <sz val="11"/>
        <color theme="1"/>
        <rFont val="Calibri"/>
        <family val="2"/>
        <scheme val="minor"/>
      </rPr>
      <t>K 2024 én ≤ 24 maanden geleden</t>
    </r>
  </si>
  <si>
    <r>
      <t>Isolerende panelen, U ≤ 0,7 W/m</t>
    </r>
    <r>
      <rPr>
        <vertAlign val="superscript"/>
        <sz val="11"/>
        <color theme="1"/>
        <rFont val="Calibri"/>
        <family val="2"/>
        <scheme val="minor"/>
      </rPr>
      <t>2</t>
    </r>
    <r>
      <rPr>
        <sz val="11"/>
        <color theme="1"/>
        <rFont val="Calibri"/>
        <family val="2"/>
        <scheme val="minor"/>
      </rPr>
      <t>K 2024 én ≤ 24 maanden geleden</t>
    </r>
  </si>
  <si>
    <t>Isolerende deuren, U ≤ 1,5 W/m2K 2024 én ≤ 24 maanden geleden</t>
  </si>
  <si>
    <t>Isolerende deuren, U ≤ 1,0 W/m2K 2024 én ≤ 24 maanden geleden</t>
  </si>
  <si>
    <t>m2 in 2025-2026</t>
  </si>
  <si>
    <t>Op of ná 1 januari 2024 en ≤  24 maanden geleden</t>
  </si>
  <si>
    <t>Aansluiting op een warmtenet Op of ná 1 januari 2024 en ≤  24 maanden geleden</t>
  </si>
  <si>
    <t>Isolerende maatregel 2025-2026</t>
  </si>
  <si>
    <r>
      <t xml:space="preserve">Bedrag </t>
    </r>
    <r>
      <rPr>
        <b/>
        <sz val="11"/>
        <color theme="1"/>
        <rFont val="Calibri"/>
        <family val="2"/>
      </rPr>
      <t>€/m</t>
    </r>
    <r>
      <rPr>
        <b/>
        <vertAlign val="superscript"/>
        <sz val="11"/>
        <color theme="1"/>
        <rFont val="Calibri"/>
        <family val="2"/>
      </rPr>
      <t>2</t>
    </r>
    <r>
      <rPr>
        <b/>
        <sz val="11"/>
        <color theme="1"/>
        <rFont val="Calibri"/>
        <family val="2"/>
        <scheme val="minor"/>
      </rPr>
      <t xml:space="preserve"> isolatie bij één maatregel 2025-2026</t>
    </r>
  </si>
  <si>
    <t>Geen dakisolatie 2025-2026</t>
  </si>
  <si>
    <t>Geen zolder- of vlieringisolatie 2025-2026</t>
  </si>
  <si>
    <t>Geen gevelisolatie 2025-2026</t>
  </si>
  <si>
    <t>Geen spouwmuurisolatie 2025-2026</t>
  </si>
  <si>
    <t>Geen vloerisolatie 2025-2026</t>
  </si>
  <si>
    <t>Geen bodemisolatie 2025-2026</t>
  </si>
  <si>
    <r>
      <t xml:space="preserve">Dakisolatie, Rd </t>
    </r>
    <r>
      <rPr>
        <sz val="11"/>
        <color theme="1"/>
        <rFont val="Calibri"/>
        <family val="2"/>
      </rPr>
      <t xml:space="preserve">≥ 3,5 </t>
    </r>
    <r>
      <rPr>
        <sz val="11"/>
        <color theme="1"/>
        <rFont val="Calibri"/>
        <family val="2"/>
        <scheme val="minor"/>
      </rPr>
      <t>m</t>
    </r>
    <r>
      <rPr>
        <vertAlign val="superscript"/>
        <sz val="11"/>
        <color theme="1"/>
        <rFont val="Calibri"/>
        <family val="2"/>
        <scheme val="minor"/>
      </rPr>
      <t>2</t>
    </r>
    <r>
      <rPr>
        <sz val="11"/>
        <color theme="1"/>
        <rFont val="Calibri"/>
        <family val="2"/>
        <scheme val="minor"/>
      </rPr>
      <t xml:space="preserve"> K/W 2025-2026</t>
    </r>
  </si>
  <si>
    <r>
      <t>Zolder-of vlieringisolatie, Rd ≥ 3,5 m</t>
    </r>
    <r>
      <rPr>
        <vertAlign val="superscript"/>
        <sz val="11"/>
        <color theme="1"/>
        <rFont val="Calibri"/>
        <family val="2"/>
        <scheme val="minor"/>
      </rPr>
      <t>2</t>
    </r>
    <r>
      <rPr>
        <sz val="11"/>
        <color theme="1"/>
        <rFont val="Calibri"/>
        <family val="2"/>
        <scheme val="minor"/>
      </rPr>
      <t xml:space="preserve"> K/W 2025-2026</t>
    </r>
  </si>
  <si>
    <r>
      <t>Binnen-of buitengevelisolatie, Rd ≥ 3,5m</t>
    </r>
    <r>
      <rPr>
        <vertAlign val="superscript"/>
        <sz val="11"/>
        <color theme="1"/>
        <rFont val="Calibri"/>
        <family val="2"/>
        <scheme val="minor"/>
      </rPr>
      <t>2</t>
    </r>
    <r>
      <rPr>
        <sz val="11"/>
        <color theme="1"/>
        <rFont val="Calibri"/>
        <family val="2"/>
        <scheme val="minor"/>
      </rPr>
      <t xml:space="preserve"> K/W 2025-2026</t>
    </r>
  </si>
  <si>
    <r>
      <t>Spouwmuurisolatie, Rd ≥ 1,1 m</t>
    </r>
    <r>
      <rPr>
        <vertAlign val="superscript"/>
        <sz val="11"/>
        <color theme="1"/>
        <rFont val="Calibri"/>
        <family val="2"/>
        <scheme val="minor"/>
      </rPr>
      <t>2</t>
    </r>
    <r>
      <rPr>
        <sz val="11"/>
        <color theme="1"/>
        <rFont val="Calibri"/>
        <family val="2"/>
        <scheme val="minor"/>
      </rPr>
      <t xml:space="preserve"> K/W 2025-2026</t>
    </r>
  </si>
  <si>
    <r>
      <t>Vloerisolatie, Rd ≥ 3,5m</t>
    </r>
    <r>
      <rPr>
        <vertAlign val="superscript"/>
        <sz val="11"/>
        <color theme="1"/>
        <rFont val="Calibri"/>
        <family val="2"/>
        <scheme val="minor"/>
      </rPr>
      <t>2</t>
    </r>
    <r>
      <rPr>
        <sz val="11"/>
        <color theme="1"/>
        <rFont val="Calibri"/>
        <family val="2"/>
        <scheme val="minor"/>
      </rPr>
      <t xml:space="preserve"> K/W 2025-2026</t>
    </r>
  </si>
  <si>
    <r>
      <t>Bodemisolatie, Rd ≥ 3,5m</t>
    </r>
    <r>
      <rPr>
        <vertAlign val="superscript"/>
        <sz val="11"/>
        <color theme="1"/>
        <rFont val="Calibri"/>
        <family val="2"/>
        <scheme val="minor"/>
      </rPr>
      <t>2</t>
    </r>
    <r>
      <rPr>
        <sz val="11"/>
        <color theme="1"/>
        <rFont val="Calibri"/>
        <family val="2"/>
        <scheme val="minor"/>
      </rPr>
      <t xml:space="preserve"> K/W 2025-2026</t>
    </r>
  </si>
  <si>
    <t>5. Wilt u een zonneboiler laten installeren?</t>
  </si>
  <si>
    <t>6. Wilt u een bestaande koopwoning laten aansluiten op een warmtenet?</t>
  </si>
  <si>
    <t xml:space="preserve">7. Wilt u een elektrische kookvoorziening aanschaffen? </t>
  </si>
  <si>
    <r>
      <t>3. Wilt u een energiezuinige afvoerventilatie-unit met CO</t>
    </r>
    <r>
      <rPr>
        <vertAlign val="subscript"/>
        <sz val="16"/>
        <rFont val="Sans"/>
      </rPr>
      <t>2</t>
    </r>
    <r>
      <rPr>
        <sz val="16"/>
        <rFont val="Sans"/>
      </rPr>
      <t>-sturing of een balansventilatiesysteem met warmteterugwinning laten installeren?</t>
    </r>
  </si>
  <si>
    <t>Energiezuinige ventilatie</t>
  </si>
  <si>
    <t>Keuzelijst energiezuinige ventilatie</t>
  </si>
  <si>
    <t>Geen energiezuinige ventilatie</t>
  </si>
  <si>
    <t>Keuzelijst datum uitvoering  energiezuinige ventilatie</t>
  </si>
  <si>
    <t>Samengestelde categorie-omschrijving energiezuinige ventilatie</t>
  </si>
  <si>
    <r>
      <t>Subsidiebedrag energiezuinig ventilatiesysteem (</t>
    </r>
    <r>
      <rPr>
        <sz val="10"/>
        <rFont val="Calibri"/>
        <family val="2"/>
      </rPr>
      <t>€)</t>
    </r>
  </si>
  <si>
    <t>Kiest u voor een energiezuinig ventilatiesysteem?</t>
  </si>
  <si>
    <t>Energiezuinige ventilatie 2026</t>
  </si>
  <si>
    <t>Samengestelde categorie-omschrijving 2026</t>
  </si>
  <si>
    <t>Vast bedrag 2026</t>
  </si>
  <si>
    <t>Geen energiezuinige ventilatie Niet van toepassing</t>
  </si>
  <si>
    <t>Geen energiezuinige ventilatie 2026</t>
  </si>
  <si>
    <t xml:space="preserve">Energiezuinige ventilatiesystemen komen alleen in aanmerking in combinatie met isolatiemaatregelen die gelijktijdig of niet langer dan 24 maanden geleden zijn aangebracht. </t>
  </si>
  <si>
    <t>Niet van toepassing of &gt; 24 maanden geleden</t>
  </si>
  <si>
    <t>Plaatsing ventilatiesysteem binnen 24 maanden na uitvoering ISDE-isolatiemaatregel</t>
  </si>
  <si>
    <t>Keuzelijst t.b.v. combivoorwaarde met isolatiemaatregel</t>
  </si>
  <si>
    <t>Energiezuinige ventilatie Niet van toepassing</t>
  </si>
  <si>
    <t xml:space="preserve">Energiezuinig ventilatiesysteem </t>
  </si>
  <si>
    <t>Afvoerventilatie-unit met CO2-sturing of balansventilatiesysteem met warmteterugwinning</t>
  </si>
  <si>
    <t>Keuzelijst warmtepomp 1</t>
  </si>
  <si>
    <t>Keuzelijst warmtepomp 2</t>
  </si>
  <si>
    <t>2024 en ≤  24 maanden geleden</t>
  </si>
  <si>
    <t>Lucht-water &lt; 1 kW Energieklasse A+++ of hoger 2024 en ≤  24 maanden geleden</t>
  </si>
  <si>
    <t>Lucht-water &lt; 1 kW Energieklasse A++ 2024 en ≤  24 maanden geleden</t>
  </si>
  <si>
    <t>Lucht-water &lt; 1 kW Energieklasse A+ 2024 en ≤  24 maanden geleden</t>
  </si>
  <si>
    <t>Lucht-water &lt; 1 kW Energieklasse A t/m G 2024 en ≤  24 maanden geleden</t>
  </si>
  <si>
    <t>Lucht-water ≥ 1 kW en ≤ 70 kW Energieklasse A+++ of hoger 2024 en ≤  24 maanden geleden</t>
  </si>
  <si>
    <t>Lucht-water ≥ 1 kW en ≤ 70 kW Energieklasse A++ 2024 en ≤  24 maanden geleden</t>
  </si>
  <si>
    <t>Lucht-water ≥ 1 kW en ≤ 70 kW Energieklasse A+ 2024 en ≤  24 maanden geleden</t>
  </si>
  <si>
    <t>Lucht-water ≥ 1 kW en ≤ 70 kW Energieklasse A t/m G 2024 en ≤  24 maanden geleden</t>
  </si>
  <si>
    <t>Lucht-water ≥ 71 kW en ≤ 400 kW Niet van toepassing 2024 en ≤  24 maanden geleden</t>
  </si>
  <si>
    <t>Lucht-water ≥ 71 kW en ≤ 400 kW Energieklasse A+++ of hoger 2024 en ≤  24 maanden geleden</t>
  </si>
  <si>
    <t>Lucht-water ≥ 71 kW en ≤ 400 kW Energieklasse A++ 2024 en ≤  24 maanden geleden</t>
  </si>
  <si>
    <t>Lucht-water ≥ 71 kW en ≤ 400 kW Energieklasse A+ 2024 en ≤  24 maanden geleden</t>
  </si>
  <si>
    <t>Lucht-water ≥ 71 kW en ≤ 400 kW Energieklasse A t/m G 2024 en ≤  24 maanden geleden</t>
  </si>
  <si>
    <t>Grond-water &lt; 1 kW Energieklasse A+++ of hoger 2024 en ≤  24 maanden geleden</t>
  </si>
  <si>
    <t>Grond-water &lt; 1 kW Energieklasse A++ 2024 en ≤  24 maanden geleden</t>
  </si>
  <si>
    <t>Grond-water &lt; 1 kW Energieklasse A+ 2024 en ≤  24 maanden geleden</t>
  </si>
  <si>
    <t>Grond-water &lt; 1 kW Energieklasse A t/m G 2024 en ≤  24 maanden geleden</t>
  </si>
  <si>
    <t>Grond-water ≥ 1 kW en &lt; 10 kW Energieklasse A+++ of hoger 2024 en ≤  24 maanden geleden</t>
  </si>
  <si>
    <t>Grond-water ≥ 1 kW en &lt; 10 kW Energieklasse A++ 2024 en ≤  24 maanden geleden</t>
  </si>
  <si>
    <t>Grond-water ≥ 1 kW en &lt; 10 kW Energieklasse A+ 2024 en ≤  24 maanden geleden</t>
  </si>
  <si>
    <t>Grond-water ≥ 1 kW en &lt; 10 kW Energieklasse A t/m G 2024 en ≤  24 maanden geleden</t>
  </si>
  <si>
    <t>Grond-water ≥ 10 kW en ≤ 70 kW Energieklasse A+++ of hoger 2024 en ≤  24 maanden geleden</t>
  </si>
  <si>
    <t>Grond-water ≥ 10 kW en ≤ 70 kW Energieklasse A++ 2024 en ≤  24 maanden geleden</t>
  </si>
  <si>
    <t>Grond-water ≥ 10 kW en ≤ 70 kW Energieklasse A+ 2024 en ≤  24 maanden geleden</t>
  </si>
  <si>
    <t>Grond-water ≥ 10 kW en ≤ 70 kW Energieklasse A t/m G 2024 en ≤  24 maanden geleden</t>
  </si>
  <si>
    <t>Grond-water ≥ 71 kW en ≤ 400 kW Niet van toepassing 2024 en ≤  24 maanden geleden</t>
  </si>
  <si>
    <t>Grond-water ≥ 71 kW en ≤ 400 kW Energieklasse A+++ of hoger 2024 en ≤  24 maanden geleden</t>
  </si>
  <si>
    <t>Grond-water ≥ 71 kW en ≤ 400 kW Energieklasse A++ 2024 en ≤  24 maanden geleden</t>
  </si>
  <si>
    <t>Grond-water ≥ 71 kW en ≤ 400 kW Energieklasse A+ 2024 en ≤  24 maanden geleden</t>
  </si>
  <si>
    <t>Grond-water ≥ 71 kW en ≤ 400 kW Energieklasse A t/m G 2024 en ≤  24 maanden geleden</t>
  </si>
  <si>
    <t>Water-water &lt; 1 kW Energieklasse A+++ of hoger 2024 en ≤  24 maanden geleden</t>
  </si>
  <si>
    <t>Water-water &lt; 1 kW Energieklasse A++ 2024 en ≤  24 maanden geleden</t>
  </si>
  <si>
    <t>Water-water &lt; 1 kW Energieklasse A+ 2024 en ≤  24 maanden geleden</t>
  </si>
  <si>
    <t>Water-water &lt; 1 kW Energieklasse A t/m G 2024 en ≤  24 maanden geleden</t>
  </si>
  <si>
    <t>Water-water ≥ 1 kW en &lt; 10 kW Energieklasse A+++ of hoger 2024 en ≤  24 maanden geleden</t>
  </si>
  <si>
    <t>Water-water ≥ 1 kW en &lt; 10 kW Energieklasse A++ 2024 en ≤  24 maanden geleden</t>
  </si>
  <si>
    <t>Water-water ≥ 1 kW en &lt; 10 kW Energieklasse A+ 2024 en ≤  24 maanden geleden</t>
  </si>
  <si>
    <t>Water-water ≥ 1 kW en &lt; 10 kW Energieklasse A t/m G 2024 en ≤  24 maanden geleden</t>
  </si>
  <si>
    <t>Water-water ≥ 10 kW en ≤ 70 kW Energieklasse A+++ of hoger 2024 en ≤  24 maanden geleden</t>
  </si>
  <si>
    <t>Water-water ≥ 10 kW en ≤ 70 kW Energieklasse A++ 2024 en ≤  24 maanden geleden</t>
  </si>
  <si>
    <t>Water-water ≥ 10 kW en ≤ 70 kW Energieklasse A+ 2024 en ≤  24 maanden geleden</t>
  </si>
  <si>
    <t>Water-water ≥ 10 kW en ≤ 70 kW Energieklasse A t/m G 2024 en ≤  24 maanden geleden</t>
  </si>
  <si>
    <t>Water-water ≥ 71 kW en ≤ 400 kW Niet van toepassing 2024 en ≤  24 maanden geleden</t>
  </si>
  <si>
    <t>Water-water ≥ 71 kW en ≤ 400 kW Energieklasse A+++ of hoger 2024 en ≤  24 maanden geleden</t>
  </si>
  <si>
    <t>Water-water ≥ 71 kW en ≤ 400 kW Energieklasse A++ 2024 en ≤  24 maanden geleden</t>
  </si>
  <si>
    <t>Water-water ≥ 71 kW en ≤ 400 kW Energieklasse A+ 2024 en ≤  24 maanden geleden</t>
  </si>
  <si>
    <t>Water-water ≥ 71 kW en ≤ 400 kW Energieklasse A t/m G 2024 en ≤  24 maanden geleden</t>
  </si>
  <si>
    <t>Warmtepomp 2026 met tarief 2024</t>
  </si>
  <si>
    <t>Samengestelde categorie-omschrijving  2026 (aanschaf 2024 WP lucht-water 1-70 kW, vermogen &lt; 13 kW)</t>
  </si>
  <si>
    <t>Lucht-water ≥ 1 kW en ≤ 70 kW Energieklasse A+++ of hoger 20262024</t>
  </si>
  <si>
    <t>Lucht-water ≥ 1 kW en ≤ 70 kW Energieklasse A++ 20262024</t>
  </si>
  <si>
    <t>Lucht-water ≥ 1 kW en ≤ 70 kW Energieklasse A+ 20262024</t>
  </si>
  <si>
    <t>Lucht-water ≥ 1 kW en ≤ 70 kW Energieklasse A t/m G 20262024</t>
  </si>
  <si>
    <t>Warmtepomp 2026</t>
  </si>
  <si>
    <r>
      <t xml:space="preserve">Samengestelde categorie-omschr.  2026 (lucht-water 1-70 kW, aanschaf 2024 verm. </t>
    </r>
    <r>
      <rPr>
        <b/>
        <sz val="11"/>
        <color theme="1"/>
        <rFont val="Aptos Narrow"/>
        <family val="2"/>
      </rPr>
      <t>≥</t>
    </r>
    <r>
      <rPr>
        <b/>
        <sz val="8.25"/>
        <color theme="1"/>
        <rFont val="Calibri"/>
        <family val="2"/>
      </rPr>
      <t xml:space="preserve"> 13 kW of aanschaf 2025</t>
    </r>
    <r>
      <rPr>
        <b/>
        <sz val="11"/>
        <color theme="1"/>
        <rFont val="Calibri"/>
        <family val="2"/>
        <scheme val="minor"/>
      </rPr>
      <t>)</t>
    </r>
  </si>
  <si>
    <t>Lucht-water &lt; 1 kW Energieklasse A+++ of hoger 2026</t>
  </si>
  <si>
    <t>Lucht-water &lt; 1 kW Energieklasse A++ 2026</t>
  </si>
  <si>
    <t>Lucht-water &lt; 1 kW Energieklasse A+ 2026</t>
  </si>
  <si>
    <t>Lucht-water &lt; 1 kW Energieklasse A t/m G 2026</t>
  </si>
  <si>
    <t>Lucht-water ≥ 1 kW en ≤ 70 kW Energieklasse A+++ of hoger 20262026</t>
  </si>
  <si>
    <t>Lucht-water ≥ 1 kW en ≤ 70 kW Energieklasse A++ 20262026</t>
  </si>
  <si>
    <t>Lucht-water ≥ 1 kW en ≤ 70 kW Energieklasse A+ 20262026</t>
  </si>
  <si>
    <t>Lucht-water ≥ 1 kW en ≤ 70 kW Energieklasse A t/m G 20262026</t>
  </si>
  <si>
    <t>Lucht-water ≥ 71 kW en ≤ 400 kW Niet van toepassing 2026</t>
  </si>
  <si>
    <t>Lucht-water ≥ 71 kW en ≤ 400 kW Energieklasse A+++ of hoger 2026</t>
  </si>
  <si>
    <t>Lucht-water ≥ 71 kW en ≤ 400 kW Energieklasse A++ 2026</t>
  </si>
  <si>
    <t>Lucht-water ≥ 71 kW en ≤ 400 kW Energieklasse A+ 2026</t>
  </si>
  <si>
    <t>Lucht-water ≥ 71 kW en ≤ 400 kW Energieklasse A t/m G 2026</t>
  </si>
  <si>
    <t>Grond-water &lt; 1 kW Energieklasse A+++ of hoger 2026</t>
  </si>
  <si>
    <t>Grond-water &lt; 1 kW Energieklasse A++ 2026</t>
  </si>
  <si>
    <t>Grond-water &lt; 1 kW Energieklasse A+ 2026</t>
  </si>
  <si>
    <t>Grond-water &lt; 1 kW Energieklasse A t/m G 2026</t>
  </si>
  <si>
    <t>Grond-water ≥ 1 kW en &lt; 10 kW Energieklasse A+++ of hoger 2026</t>
  </si>
  <si>
    <t>Grond-water ≥ 1 kW en &lt; 10 kW Energieklasse A++ 2026</t>
  </si>
  <si>
    <t>Grond-water ≥ 1 kW en &lt; 10 kW Energieklasse A+ 2026</t>
  </si>
  <si>
    <t>Grond-water ≥ 1 kW en &lt; 10 kW Energieklasse A t/m G 2026</t>
  </si>
  <si>
    <t>Grond-water ≥ 10 kW en ≤ 70 kW Energieklasse A+++ of hoger 2026</t>
  </si>
  <si>
    <t>Grond-water ≥ 10 kW en ≤ 70 kW Energieklasse A++ 2026</t>
  </si>
  <si>
    <t>Grond-water ≥ 10 kW en ≤ 70 kW Energieklasse A+ 2026</t>
  </si>
  <si>
    <t>Grond-water ≥ 10 kW en ≤ 70 kW Energieklasse A t/m G 2026</t>
  </si>
  <si>
    <t>Grond-water ≥ 71 kW en ≤ 400 kW Niet van toepassing 2026</t>
  </si>
  <si>
    <t>Grond-water ≥ 71 kW en ≤ 400 kW Energieklasse A+++ of hoger 2026</t>
  </si>
  <si>
    <t>Grond-water ≥ 71 kW en ≤ 400 kW Energieklasse A++ 2026</t>
  </si>
  <si>
    <t>Grond-water ≥ 71 kW en ≤ 400 kW Energieklasse A+ 2026</t>
  </si>
  <si>
    <t>Grond-water ≥ 71 kW en ≤ 400 kW Energieklasse A t/m G 2026</t>
  </si>
  <si>
    <t>Water-water &lt; 1 kW Energieklasse A+++ of hoger 2026</t>
  </si>
  <si>
    <t>Water-water &lt; 1 kW Energieklasse A++ 2026</t>
  </si>
  <si>
    <t>Water-water &lt; 1 kW Energieklasse A+ 2026</t>
  </si>
  <si>
    <t>Water-water &lt; 1 kW Energieklasse A t/m G 2026</t>
  </si>
  <si>
    <t>Water-water ≥ 1 kW en &lt; 10 kW Energieklasse A+++ of hoger 2026</t>
  </si>
  <si>
    <t>Water-water ≥ 1 kW en &lt; 10 kW Energieklasse A++2026</t>
  </si>
  <si>
    <t>Water-water ≥ 1 kW en &lt; 10 kW Energieklasse A+2026</t>
  </si>
  <si>
    <t>Water-water ≥ 1 kW en &lt; 10 kW Energieklasse A t/m G 2026</t>
  </si>
  <si>
    <t>Water-water ≥ 10 kW en ≤ 70 kW Energieklasse A+++ of hoger 2026</t>
  </si>
  <si>
    <t>Water-water ≥ 10 kW en ≤ 70 kW Energieklasse A++ 2026</t>
  </si>
  <si>
    <t>Water-water ≥ 10 kW en ≤ 70 kW Energieklasse A+ 2026</t>
  </si>
  <si>
    <t>Water-water ≥ 10 kW en ≤ 70 kW Energieklasse A t/m G 2026</t>
  </si>
  <si>
    <t>Water-water ≥ 71 kW en ≤ 400 kW Niet van toepassing 2026</t>
  </si>
  <si>
    <t>Water-water ≥ 71 kW en ≤ 400 kW Energieklasse A+++ of hoger 2026</t>
  </si>
  <si>
    <t>Water-water ≥ 71 kW en ≤ 400 kW Energieklasse A++ 2026</t>
  </si>
  <si>
    <t>Water-water ≥ 71 kW en ≤ 400 kW Energieklasse A+ 2026</t>
  </si>
  <si>
    <t>Water-water ≥ 71 kW en ≤ 400 kW Energieklasse A t/m G 2026</t>
  </si>
  <si>
    <t>Lucht-water ≥ 1 kW en ≤ 70 kW Energieklasse A+++ of hoger 20262025</t>
  </si>
  <si>
    <t>Lucht-water ≥ 1 kW en ≤ 70 kW Energieklasse A++ 20262025</t>
  </si>
  <si>
    <t>Lucht-water ≥ 1 kW en ≤ 70 kW Energieklasse A+ 20262025</t>
  </si>
  <si>
    <t>Lucht-water ≥ 1 kW en ≤ 70 kW Energieklasse A t/m G 20262025</t>
  </si>
  <si>
    <t>Warmtepomp 2026 met tarief 2025</t>
  </si>
  <si>
    <t>Samengestelde categorie-omschrijving  2026 (aanschaf 2025 WP lucht-water 1-70 kW, vermogen &lt; 13 kW)</t>
  </si>
  <si>
    <t>Verhoging door energieklasse 2026</t>
  </si>
  <si>
    <t>Totaal vast bedrag 2026</t>
  </si>
  <si>
    <t>Extra bedrag/kW 2026</t>
  </si>
  <si>
    <t>Lucht-water ≥ 1 kW en ≤ 70 kW</t>
  </si>
  <si>
    <t>Lucht-water ≥ 71 kW en ≤ 400 kW</t>
  </si>
  <si>
    <t>Grond-water ≥ 10 kW en ≤ 70 kW</t>
  </si>
  <si>
    <t>Grond-water ≥ 71 kW en ≤ 400 kW</t>
  </si>
  <si>
    <t>Water-water ≥ 10 kW en ≤ 70 kW</t>
  </si>
  <si>
    <t>Water-water ≥ 71 kW en ≤ 400 kW</t>
  </si>
  <si>
    <t>Kies energie-efficiency klasse:</t>
  </si>
  <si>
    <r>
      <t xml:space="preserve">Vermogen (indien ingevuld, in </t>
    </r>
    <r>
      <rPr>
        <b/>
        <sz val="12"/>
        <rFont val="Calibri"/>
        <family val="2"/>
      </rPr>
      <t>kW)</t>
    </r>
  </si>
  <si>
    <t>Hulpcellen voor invoerbegrenzing invulveld warmtepompvermogen en berekening subsidiebedrag warmtepomp</t>
  </si>
  <si>
    <t>Hulpcellen voor invulveld opdrachtdatum warmtepomp</t>
  </si>
  <si>
    <t>Hulpcel voor invoerbegrenzing invulveld warmtepompvermogen en berekening subsidiebedrag warmtepomp installatiedatum 2024 of 2025</t>
  </si>
  <si>
    <t>Lucht-water ≥ 1 kW en ≤ 70 kW Energieklasse A+++ of hoger 2026</t>
  </si>
  <si>
    <t>Lucht-water ≥ 1 kW en ≤ 70 kW Energieklasse A++ 2026</t>
  </si>
  <si>
    <t>Lucht-water ≥ 1 kW en ≤ 70 kW Energieklasse A+ 2026</t>
  </si>
  <si>
    <t>Lucht-water ≥ 1 kW en ≤ 70 kW Energieklasse A t/m G 2026</t>
  </si>
  <si>
    <r>
      <t xml:space="preserve">Vraag aanschafdatum (alleen bij lucht-waterwarmtepomp  </t>
    </r>
    <r>
      <rPr>
        <b/>
        <sz val="11"/>
        <rFont val="Aptos Narrow"/>
        <family val="2"/>
      </rPr>
      <t>≥</t>
    </r>
    <r>
      <rPr>
        <b/>
        <sz val="11"/>
        <rFont val="Calibri"/>
        <family val="2"/>
      </rPr>
      <t xml:space="preserve"> 1kW en </t>
    </r>
    <r>
      <rPr>
        <b/>
        <sz val="11"/>
        <rFont val="Aptos Narrow"/>
        <family val="2"/>
      </rPr>
      <t>≤</t>
    </r>
    <r>
      <rPr>
        <b/>
        <sz val="11"/>
        <rFont val="Calibri"/>
        <family val="2"/>
      </rPr>
      <t xml:space="preserve"> 70 kW in 2025)</t>
    </r>
  </si>
  <si>
    <r>
      <t xml:space="preserve">Lucht-water </t>
    </r>
    <r>
      <rPr>
        <sz val="11"/>
        <color theme="1"/>
        <rFont val="Calibri"/>
        <family val="2"/>
      </rPr>
      <t>≥ 1 kW en ≤ 70 kW</t>
    </r>
    <r>
      <rPr>
        <sz val="11"/>
        <color theme="1"/>
        <rFont val="Calibri"/>
        <family val="2"/>
        <scheme val="minor"/>
      </rPr>
      <t xml:space="preserve"> (extra warmtepomp)</t>
    </r>
  </si>
  <si>
    <r>
      <t xml:space="preserve">Lucht-water </t>
    </r>
    <r>
      <rPr>
        <sz val="11"/>
        <color theme="1"/>
        <rFont val="Calibri"/>
        <family val="2"/>
      </rPr>
      <t>≥ 1 kW en ≤ 70 kW</t>
    </r>
    <r>
      <rPr>
        <sz val="11"/>
        <color theme="1"/>
        <rFont val="Calibri"/>
        <family val="2"/>
        <scheme val="minor"/>
      </rPr>
      <t xml:space="preserve"> (eerste warmtepomp)</t>
    </r>
  </si>
  <si>
    <t>Samengestelde categorie-omschrijving t.b.v. zoeken in tabellen warmtenet</t>
  </si>
  <si>
    <r>
      <t xml:space="preserve">Lucht-water </t>
    </r>
    <r>
      <rPr>
        <sz val="11"/>
        <rFont val="Calibri"/>
        <family val="2"/>
      </rPr>
      <t>≥ 71 kW en ≤ 400 kW</t>
    </r>
    <r>
      <rPr>
        <sz val="11"/>
        <rFont val="Calibri"/>
        <family val="2"/>
        <scheme val="minor"/>
      </rPr>
      <t xml:space="preserve"> (eerste warmtepomp)</t>
    </r>
  </si>
  <si>
    <r>
      <t xml:space="preserve">Lucht-water </t>
    </r>
    <r>
      <rPr>
        <sz val="11"/>
        <rFont val="Calibri"/>
        <family val="2"/>
      </rPr>
      <t>≥ 71 kW en ≤ 400 kW</t>
    </r>
    <r>
      <rPr>
        <sz val="11"/>
        <rFont val="Calibri"/>
        <family val="2"/>
        <scheme val="minor"/>
      </rPr>
      <t xml:space="preserve"> (extra warmtepomp)</t>
    </r>
  </si>
  <si>
    <t>Lucht-water ≥ 71 kW en ≤ 400 kW Niet van toepassing 2026Eerste warmtepomp</t>
  </si>
  <si>
    <t>Lucht-water ≥ 71 kW en ≤ 400 kW Energieklasse A+++ of hoger 2026Eerste warmtepomp</t>
  </si>
  <si>
    <t>Lucht-water ≥ 71 kW en ≤ 400 kW Energieklasse A++ 2026Eerste warmtepomp</t>
  </si>
  <si>
    <t>Lucht-water ≥ 71 kW en ≤ 400 kW Energieklasse A+ 2026Eerste warmtepomp</t>
  </si>
  <si>
    <t>Lucht-water ≥ 71 kW en ≤ 400 kW Energieklasse A t/m G 2026Eerste warmtepomp</t>
  </si>
  <si>
    <t>Nee, ik heb niet eerder ISDE-subsidie ontvangen</t>
  </si>
  <si>
    <t>Ja, voor ISDE-maatregel(en) &gt; 24 maanden geleden uitgevoerd</t>
  </si>
  <si>
    <t>Ja, voor ISDE-maatregel(en) ≤ 24 maanden geleden uitgevoerd</t>
  </si>
  <si>
    <t>Voorloopvraag eerder ISDE-subsidieontvangen?</t>
  </si>
  <si>
    <r>
      <t>Subsidiebedrag warmtepomp(boiler)(</t>
    </r>
    <r>
      <rPr>
        <sz val="10"/>
        <rFont val="Calibri"/>
        <family val="2"/>
      </rPr>
      <t>€)</t>
    </r>
  </si>
  <si>
    <t xml:space="preserve">Bij een tweede en volgende lucht-waterwarmtepomp is in het subsidiebedrag geen starttarief opgenomen. </t>
  </si>
  <si>
    <t xml:space="preserve">Bij de categorie luchtwater-warmtepomp 1-70 kW wordt alleen een bonus toegekend voor een A+++ label of hoger als u voor de eerste luchtwater-warmtepomp 1-70 kW geen labelbonus heeft ontvangen.    </t>
  </si>
  <si>
    <t>4.2 Wilt u een extra warmtepomp(boiler) laten installeren?</t>
  </si>
  <si>
    <r>
      <t>Subsidiebedrag warmtepomp(boiler) (</t>
    </r>
    <r>
      <rPr>
        <sz val="10"/>
        <rFont val="Calibri"/>
        <family val="2"/>
      </rPr>
      <t>€)</t>
    </r>
  </si>
  <si>
    <t>Ventilatie</t>
  </si>
  <si>
    <r>
      <t xml:space="preserve">Bereken in zeven stappen uw mogelijke subsidie (Let op! U kunt naast de keuzerondjes alleen de </t>
    </r>
    <r>
      <rPr>
        <b/>
        <sz val="11"/>
        <color rgb="FF0070C0"/>
        <rFont val="Sans"/>
      </rPr>
      <t>blauwe velden</t>
    </r>
    <r>
      <rPr>
        <b/>
        <sz val="11"/>
        <color rgb="FF000000"/>
        <rFont val="Sans"/>
      </rPr>
      <t xml:space="preserve"> invullen of aanpassen):</t>
    </r>
  </si>
  <si>
    <t xml:space="preserve"> (versie december 2025) </t>
  </si>
  <si>
    <t>Vast bedrag 2026 tot ondergrens</t>
  </si>
  <si>
    <t>boven ondergrens</t>
  </si>
  <si>
    <t>Voorloopvraag warmtepompen</t>
  </si>
  <si>
    <t>Ja, lucht-water ≥ 1 kW en ≤ 70 kW met labelbonus</t>
  </si>
  <si>
    <t>Ja, lucht-water ≥ 1 kW en ≤ 70 kW zonder labelbonus</t>
  </si>
  <si>
    <t>Ja, lucht-water ≥ 71 kW en ≤ 400 kW</t>
  </si>
  <si>
    <t xml:space="preserve">4. Heeft u reeds eerder ISDE-subsidie ontvangen voor een warmtepomp?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</si>
</sst>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84">
    <font>
      <sz val="11"/>
      <color theme="1"/>
      <name val="Calibri"/>
      <family val="2"/>
      <scheme val="minor"/>
    </font>
    <font>
      <sz val="11"/>
      <color theme="1"/>
      <name val="Calibri"/>
      <family val="2"/>
    </font>
    <font>
      <sz val="11"/>
      <color theme="1"/>
      <name val="Calibri"/>
      <family val="2"/>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sz val="10"/>
      <color theme="1"/>
      <name val="Calibri"/>
      <family val="2"/>
      <scheme val="minor"/>
    </font>
    <font>
      <u/>
      <sz val="11"/>
      <color theme="10"/>
      <name val="Calibri"/>
      <family val="2"/>
      <scheme val="minor"/>
    </font>
    <font>
      <b/>
      <sz val="24"/>
      <name val="Sans"/>
    </font>
    <font>
      <sz val="12"/>
      <name val="Sans"/>
    </font>
    <font>
      <sz val="18"/>
      <name val="Sans"/>
    </font>
    <font>
      <u/>
      <sz val="11"/>
      <name val="Calibri"/>
      <family val="2"/>
      <scheme val="minor"/>
    </font>
    <font>
      <b/>
      <sz val="11"/>
      <color theme="1"/>
      <name val="Calibri"/>
      <family val="2"/>
      <scheme val="minor"/>
    </font>
    <font>
      <sz val="11"/>
      <color rgb="FFFF0000"/>
      <name val="Calibri"/>
      <family val="2"/>
      <scheme val="minor"/>
    </font>
    <font>
      <sz val="11"/>
      <color theme="1"/>
      <name val="Calibri"/>
      <family val="2"/>
    </font>
    <font>
      <sz val="8"/>
      <name val="Calibri"/>
      <family val="2"/>
      <scheme val="minor"/>
    </font>
    <font>
      <b/>
      <sz val="11"/>
      <color theme="1"/>
      <name val="Calibri"/>
      <family val="2"/>
    </font>
    <font>
      <vertAlign val="superscript"/>
      <sz val="11"/>
      <color theme="1"/>
      <name val="Calibri"/>
      <family val="2"/>
    </font>
    <font>
      <b/>
      <vertAlign val="superscript"/>
      <sz val="11"/>
      <color theme="1"/>
      <name val="Calibri"/>
      <family val="2"/>
      <scheme val="minor"/>
    </font>
    <font>
      <b/>
      <sz val="11"/>
      <color rgb="FFFF0000"/>
      <name val="Calibri"/>
      <family val="2"/>
      <scheme val="minor"/>
    </font>
    <font>
      <sz val="11"/>
      <name val="Calibri"/>
      <family val="2"/>
      <scheme val="minor"/>
    </font>
    <font>
      <b/>
      <sz val="11"/>
      <name val="Calibri"/>
      <family val="2"/>
      <scheme val="minor"/>
    </font>
    <font>
      <b/>
      <vertAlign val="superscript"/>
      <sz val="11"/>
      <color theme="1"/>
      <name val="Calibri"/>
      <family val="2"/>
    </font>
    <font>
      <vertAlign val="superscript"/>
      <sz val="11"/>
      <color theme="1"/>
      <name val="Calibri"/>
      <family val="2"/>
      <scheme val="minor"/>
    </font>
    <font>
      <sz val="11"/>
      <name val="Calibri"/>
      <family val="2"/>
    </font>
    <font>
      <b/>
      <sz val="14"/>
      <color theme="1"/>
      <name val="Calibri"/>
      <family val="2"/>
      <scheme val="minor"/>
    </font>
    <font>
      <b/>
      <sz val="12"/>
      <color rgb="FF000000"/>
      <name val="Sans"/>
    </font>
    <font>
      <b/>
      <sz val="14"/>
      <name val="Calibri"/>
      <family val="2"/>
      <scheme val="minor"/>
    </font>
    <font>
      <sz val="9"/>
      <color indexed="81"/>
      <name val="Tahoma"/>
      <family val="2"/>
    </font>
    <font>
      <b/>
      <sz val="9"/>
      <color indexed="81"/>
      <name val="Tahoma"/>
      <family val="2"/>
    </font>
    <font>
      <sz val="18"/>
      <color rgb="FF000000"/>
      <name val="Sans"/>
    </font>
    <font>
      <sz val="11"/>
      <color rgb="FF000000"/>
      <name val="Calibri"/>
      <family val="2"/>
    </font>
    <font>
      <sz val="11"/>
      <color rgb="FFC00000"/>
      <name val="Calibri"/>
      <family val="2"/>
      <scheme val="minor"/>
    </font>
    <font>
      <b/>
      <sz val="11"/>
      <color rgb="FFC00000"/>
      <name val="Calibri"/>
      <family val="2"/>
      <scheme val="minor"/>
    </font>
    <font>
      <b/>
      <sz val="11"/>
      <color rgb="FFD4351C"/>
      <name val="Calibri"/>
      <family val="2"/>
      <scheme val="minor"/>
    </font>
    <font>
      <sz val="11"/>
      <color theme="0"/>
      <name val="Calibri"/>
      <family val="2"/>
      <scheme val="minor"/>
    </font>
    <font>
      <sz val="8"/>
      <color rgb="FF000000"/>
      <name val="Segoe UI"/>
      <family val="2"/>
    </font>
    <font>
      <b/>
      <sz val="12"/>
      <color rgb="FFFF0000"/>
      <name val="Calibri"/>
      <family val="2"/>
      <scheme val="minor"/>
    </font>
    <font>
      <b/>
      <sz val="10"/>
      <color theme="1"/>
      <name val="Calibri"/>
      <family val="2"/>
      <scheme val="minor"/>
    </font>
    <font>
      <sz val="10"/>
      <color theme="0"/>
      <name val="Calibri"/>
      <family val="2"/>
      <scheme val="minor"/>
    </font>
    <font>
      <b/>
      <sz val="10"/>
      <color rgb="FFD4351C"/>
      <name val="Calibri"/>
      <family val="2"/>
      <scheme val="minor"/>
    </font>
    <font>
      <sz val="10"/>
      <color rgb="FF000000"/>
      <name val="Calibri"/>
      <family val="2"/>
    </font>
    <font>
      <sz val="16"/>
      <name val="Sans"/>
    </font>
    <font>
      <sz val="16"/>
      <color rgb="FF000000"/>
      <name val="Sans"/>
    </font>
    <font>
      <b/>
      <sz val="11"/>
      <color rgb="FF000000"/>
      <name val="Sans"/>
    </font>
    <font>
      <b/>
      <sz val="11"/>
      <name val="Sans"/>
    </font>
    <font>
      <vertAlign val="superscript"/>
      <sz val="10"/>
      <color theme="1"/>
      <name val="Calibri"/>
      <family val="2"/>
      <scheme val="minor"/>
    </font>
    <font>
      <sz val="10"/>
      <color theme="1"/>
      <name val="Calibri"/>
      <family val="2"/>
    </font>
    <font>
      <b/>
      <sz val="10"/>
      <color rgb="FFFF0000"/>
      <name val="Calibri"/>
      <family val="2"/>
      <scheme val="minor"/>
    </font>
    <font>
      <b/>
      <vertAlign val="superscript"/>
      <sz val="10"/>
      <color theme="1"/>
      <name val="Calibri"/>
      <family val="2"/>
      <scheme val="minor"/>
    </font>
    <font>
      <b/>
      <sz val="10"/>
      <color theme="1"/>
      <name val="Calibri"/>
      <family val="2"/>
    </font>
    <font>
      <sz val="10"/>
      <name val="Calibri"/>
      <family val="2"/>
      <scheme val="minor"/>
    </font>
    <font>
      <sz val="10"/>
      <name val="Calibri"/>
      <family val="2"/>
    </font>
    <font>
      <sz val="10"/>
      <name val="Sans"/>
    </font>
    <font>
      <sz val="10"/>
      <color rgb="FFC00000"/>
      <name val="Calibri"/>
      <family val="2"/>
      <scheme val="minor"/>
    </font>
    <font>
      <b/>
      <sz val="13"/>
      <color theme="1"/>
      <name val="Calibri"/>
      <family val="2"/>
      <scheme val="minor"/>
    </font>
    <font>
      <b/>
      <sz val="13"/>
      <color theme="1"/>
      <name val="Calibri"/>
      <family val="2"/>
    </font>
    <font>
      <b/>
      <sz val="22"/>
      <name val="Sans"/>
    </font>
    <font>
      <b/>
      <sz val="11"/>
      <color rgb="FF0070C0"/>
      <name val="Sans"/>
    </font>
    <font>
      <b/>
      <sz val="20"/>
      <color theme="1"/>
      <name val="Calibri"/>
      <family val="2"/>
      <scheme val="minor"/>
    </font>
    <font>
      <b/>
      <sz val="18"/>
      <color theme="1"/>
      <name val="Calibri"/>
      <family val="2"/>
      <scheme val="minor"/>
    </font>
    <font>
      <b/>
      <sz val="12"/>
      <color theme="1"/>
      <name val="Calibri"/>
      <family val="2"/>
      <scheme val="minor"/>
    </font>
    <font>
      <b/>
      <sz val="12"/>
      <color theme="1"/>
      <name val="Calibri"/>
      <family val="2"/>
    </font>
    <font>
      <i/>
      <sz val="11"/>
      <name val="Calibri"/>
      <family val="2"/>
      <scheme val="minor"/>
    </font>
    <font>
      <sz val="11"/>
      <color theme="1"/>
      <name val="Aptos Narrow"/>
      <family val="2"/>
    </font>
    <font>
      <vertAlign val="superscript"/>
      <sz val="11"/>
      <name val="Calibri"/>
      <family val="2"/>
      <scheme val="minor"/>
    </font>
    <font>
      <b/>
      <sz val="11"/>
      <name val="Aptos Narrow"/>
      <family val="2"/>
    </font>
    <font>
      <b/>
      <sz val="11"/>
      <name val="Calibri"/>
      <family val="2"/>
    </font>
    <font>
      <b/>
      <sz val="11"/>
      <color theme="1"/>
      <name val="Aptos Narrow"/>
      <family val="2"/>
    </font>
    <font>
      <b/>
      <sz val="8.25"/>
      <color theme="1"/>
      <name val="Calibri"/>
      <family val="2"/>
    </font>
    <font>
      <b/>
      <u/>
      <sz val="11"/>
      <color theme="10"/>
      <name val="Calibri"/>
      <family val="2"/>
      <scheme val="minor"/>
    </font>
    <font>
      <b/>
      <sz val="11"/>
      <color rgb="FFD4351C"/>
      <name val="__ROsans_ca772e"/>
    </font>
    <font>
      <sz val="10"/>
      <color theme="1"/>
      <name val="Aptos Narrow"/>
      <family val="2"/>
    </font>
    <font>
      <vertAlign val="subscript"/>
      <sz val="16"/>
      <name val="Sans"/>
    </font>
    <font>
      <sz val="12"/>
      <color theme="1"/>
      <name val="Calibri"/>
      <family val="2"/>
      <scheme val="minor"/>
    </font>
    <font>
      <b/>
      <sz val="24"/>
      <color rgb="FFFF0000"/>
      <name val="Calibri"/>
      <family val="2"/>
      <scheme val="minor"/>
    </font>
    <font>
      <b/>
      <sz val="12"/>
      <name val="Calibri"/>
      <family val="2"/>
      <scheme val="minor"/>
    </font>
    <font>
      <b/>
      <sz val="12"/>
      <name val="Calibri"/>
      <family val="2"/>
    </font>
    <font>
      <b/>
      <sz val="14"/>
      <color rgb="FFD4351C"/>
      <name val="Calibri"/>
      <family val="2"/>
      <scheme val="minor"/>
    </font>
    <font>
      <b/>
      <sz val="22"/>
      <color theme="1"/>
      <name val="Calibri"/>
      <family val="2"/>
      <scheme val="minor"/>
    </font>
    <font>
      <u/>
      <sz val="11"/>
      <color rgb="FF000000"/>
      <name val="Calibri"/>
      <family val="2"/>
      <scheme val="minor"/>
    </font>
    <font>
      <sz val="11"/>
      <color rgb="FFD4351C"/>
      <name val="Calibri"/>
      <family val="2"/>
      <scheme val="minor"/>
    </font>
  </fonts>
  <fills count="5">
    <fill>
      <patternFill patternType="none"/>
    </fill>
    <fill>
      <patternFill patternType="gray125"/>
    </fill>
    <fill>
      <patternFill patternType="solid">
        <fgColor rgb="FFF8F8F8"/>
        <bgColor indexed="64"/>
      </patternFill>
    </fill>
    <fill>
      <patternFill patternType="solid">
        <fgColor rgb="FF007BC7"/>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9" fillId="0" borderId="0" applyNumberFormat="0" applyFill="0" applyBorder="0" applyAlignment="0" applyProtection="0"/>
  </cellStyleXfs>
  <cellXfs count="191">
    <xf numFmtId="0" fontId="0" fillId="0" borderId="0" xfId="0"/>
    <xf numFmtId="0" fontId="15" fillId="0" borderId="0" xfId="0" applyFont="1"/>
    <xf numFmtId="0" fontId="0" fillId="2" borderId="0" xfId="0" applyFill="1"/>
    <xf numFmtId="0" fontId="10" fillId="2" borderId="0" xfId="0" applyFont="1" applyFill="1"/>
    <xf numFmtId="0" fontId="13" fillId="2" borderId="0" xfId="1" applyFont="1" applyFill="1" applyAlignment="1" applyProtection="1">
      <alignment horizontal="left" vertical="center"/>
    </xf>
    <xf numFmtId="0" fontId="9" fillId="2" borderId="0" xfId="1" applyFill="1" applyAlignment="1" applyProtection="1">
      <alignment horizontal="left" vertical="center"/>
    </xf>
    <xf numFmtId="0" fontId="32" fillId="2" borderId="0" xfId="0" applyFont="1" applyFill="1" applyAlignment="1">
      <alignment vertical="center"/>
    </xf>
    <xf numFmtId="0" fontId="33" fillId="2" borderId="0" xfId="0" applyFont="1" applyFill="1" applyAlignment="1">
      <alignment vertical="center"/>
    </xf>
    <xf numFmtId="0" fontId="36" fillId="2" borderId="0" xfId="0" applyFont="1" applyFill="1"/>
    <xf numFmtId="0" fontId="22" fillId="2" borderId="0" xfId="0" applyFont="1" applyFill="1"/>
    <xf numFmtId="4" fontId="0" fillId="2" borderId="1" xfId="0" applyNumberFormat="1" applyFill="1" applyBorder="1"/>
    <xf numFmtId="0" fontId="0" fillId="2" borderId="0" xfId="0" applyFill="1" applyAlignment="1">
      <alignment horizontal="center"/>
    </xf>
    <xf numFmtId="3" fontId="0" fillId="2" borderId="0" xfId="0" applyNumberFormat="1" applyFill="1"/>
    <xf numFmtId="0" fontId="14" fillId="2" borderId="0" xfId="0" applyFont="1" applyFill="1" applyAlignment="1">
      <alignment vertical="center"/>
    </xf>
    <xf numFmtId="0" fontId="21" fillId="2" borderId="0" xfId="0" applyFont="1" applyFill="1"/>
    <xf numFmtId="0" fontId="0" fillId="2" borderId="0" xfId="0" applyFill="1" applyAlignment="1">
      <alignment horizontal="left"/>
    </xf>
    <xf numFmtId="0" fontId="12" fillId="2" borderId="0" xfId="0" applyFont="1" applyFill="1"/>
    <xf numFmtId="0" fontId="15" fillId="2" borderId="0" xfId="0" applyFont="1" applyFill="1"/>
    <xf numFmtId="0" fontId="34" fillId="2" borderId="0" xfId="0" applyFont="1" applyFill="1"/>
    <xf numFmtId="0" fontId="35" fillId="2" borderId="0" xfId="0" applyFont="1" applyFill="1" applyAlignment="1">
      <alignment wrapText="1"/>
    </xf>
    <xf numFmtId="0" fontId="34" fillId="2" borderId="0" xfId="0" applyFont="1" applyFill="1" applyAlignment="1">
      <alignment vertical="top"/>
    </xf>
    <xf numFmtId="0" fontId="0" fillId="2" borderId="0" xfId="0" applyFill="1" applyAlignment="1">
      <alignment vertical="top"/>
    </xf>
    <xf numFmtId="0" fontId="27" fillId="2" borderId="0" xfId="0" applyFont="1" applyFill="1"/>
    <xf numFmtId="0" fontId="16" fillId="0" borderId="0" xfId="0" applyFont="1"/>
    <xf numFmtId="0" fontId="23" fillId="4" borderId="0" xfId="0" applyFont="1" applyFill="1"/>
    <xf numFmtId="0" fontId="14" fillId="4" borderId="0" xfId="0" applyFont="1" applyFill="1"/>
    <xf numFmtId="0" fontId="23" fillId="4" borderId="0" xfId="0" applyFont="1" applyFill="1" applyAlignment="1">
      <alignment horizontal="right"/>
    </xf>
    <xf numFmtId="0" fontId="14" fillId="4" borderId="0" xfId="0" applyFont="1" applyFill="1" applyAlignment="1">
      <alignment horizontal="right"/>
    </xf>
    <xf numFmtId="0" fontId="0" fillId="4" borderId="0" xfId="0" applyFill="1"/>
    <xf numFmtId="0" fontId="0" fillId="4" borderId="0" xfId="0" applyFill="1" applyAlignment="1">
      <alignment horizontal="right"/>
    </xf>
    <xf numFmtId="0" fontId="22" fillId="4" borderId="0" xfId="0" applyFont="1" applyFill="1"/>
    <xf numFmtId="4" fontId="0" fillId="2" borderId="0" xfId="0" applyNumberFormat="1" applyFill="1"/>
    <xf numFmtId="0" fontId="22" fillId="4" borderId="0" xfId="0" applyFont="1" applyFill="1" applyAlignment="1">
      <alignment horizontal="right"/>
    </xf>
    <xf numFmtId="1" fontId="37" fillId="3" borderId="1" xfId="0" applyNumberFormat="1" applyFont="1" applyFill="1" applyBorder="1" applyProtection="1">
      <protection locked="0"/>
    </xf>
    <xf numFmtId="0" fontId="11" fillId="2" borderId="0" xfId="0" applyFont="1" applyFill="1" applyAlignment="1">
      <alignment vertical="center" wrapText="1"/>
    </xf>
    <xf numFmtId="0" fontId="0" fillId="2" borderId="0" xfId="0" applyFill="1" applyAlignment="1">
      <alignment vertical="top" wrapText="1"/>
    </xf>
    <xf numFmtId="0" fontId="22" fillId="2" borderId="0" xfId="0" applyFont="1" applyFill="1" applyAlignment="1">
      <alignment vertical="top" wrapText="1"/>
    </xf>
    <xf numFmtId="0" fontId="0" fillId="2" borderId="0" xfId="0" applyFill="1" applyAlignment="1">
      <alignment wrapText="1"/>
    </xf>
    <xf numFmtId="0" fontId="13" fillId="2" borderId="0" xfId="1" applyFont="1" applyFill="1" applyAlignment="1" applyProtection="1">
      <alignment horizontal="left" vertical="center" wrapText="1"/>
    </xf>
    <xf numFmtId="0" fontId="0" fillId="2" borderId="0" xfId="0" applyFill="1" applyAlignment="1">
      <alignment vertical="center"/>
    </xf>
    <xf numFmtId="0" fontId="28" fillId="2" borderId="0" xfId="0" applyFont="1" applyFill="1" applyAlignment="1">
      <alignment vertical="center" wrapText="1"/>
    </xf>
    <xf numFmtId="0" fontId="14" fillId="2" borderId="0" xfId="0" applyFont="1" applyFill="1" applyAlignment="1">
      <alignment wrapText="1"/>
    </xf>
    <xf numFmtId="0" fontId="8" fillId="2" borderId="0" xfId="0" applyFont="1" applyFill="1"/>
    <xf numFmtId="0" fontId="40" fillId="2" borderId="0" xfId="0" applyFont="1" applyFill="1"/>
    <xf numFmtId="0" fontId="40" fillId="2" borderId="0" xfId="0" applyFont="1" applyFill="1" applyAlignment="1">
      <alignment horizontal="left" vertical="center"/>
    </xf>
    <xf numFmtId="0" fontId="43" fillId="2" borderId="0" xfId="0" applyFont="1" applyFill="1" applyAlignment="1">
      <alignment vertical="center"/>
    </xf>
    <xf numFmtId="0" fontId="44" fillId="2" borderId="0" xfId="0" applyFont="1" applyFill="1" applyAlignment="1">
      <alignment vertical="center"/>
    </xf>
    <xf numFmtId="0" fontId="45" fillId="2" borderId="0" xfId="0" applyFont="1" applyFill="1" applyAlignment="1">
      <alignment vertical="center"/>
    </xf>
    <xf numFmtId="0" fontId="47" fillId="2" borderId="0" xfId="0" applyFont="1" applyFill="1" applyAlignment="1">
      <alignment vertical="center"/>
    </xf>
    <xf numFmtId="0" fontId="8" fillId="2" borderId="0" xfId="0" applyFont="1" applyFill="1" applyAlignment="1">
      <alignment vertical="center" wrapText="1"/>
    </xf>
    <xf numFmtId="0" fontId="8" fillId="2" borderId="0" xfId="0" applyFont="1" applyFill="1" applyAlignment="1">
      <alignment vertical="top" wrapText="1"/>
    </xf>
    <xf numFmtId="0" fontId="8" fillId="2" borderId="0" xfId="0" applyFont="1" applyFill="1" applyAlignment="1">
      <alignment horizontal="left" vertical="top" wrapText="1"/>
    </xf>
    <xf numFmtId="0" fontId="8" fillId="2" borderId="1" xfId="0" applyFont="1" applyFill="1" applyBorder="1" applyAlignment="1">
      <alignment horizontal="center"/>
    </xf>
    <xf numFmtId="43" fontId="8" fillId="2" borderId="1" xfId="0" applyNumberFormat="1" applyFont="1" applyFill="1" applyBorder="1"/>
    <xf numFmtId="0" fontId="41" fillId="3" borderId="1" xfId="0" applyFont="1" applyFill="1" applyBorder="1" applyAlignment="1" applyProtection="1">
      <alignment horizontal="right"/>
      <protection locked="0"/>
    </xf>
    <xf numFmtId="0" fontId="8" fillId="2" borderId="1" xfId="0" applyFont="1" applyFill="1" applyBorder="1"/>
    <xf numFmtId="4" fontId="8" fillId="2" borderId="1" xfId="0" applyNumberFormat="1" applyFont="1" applyFill="1" applyBorder="1"/>
    <xf numFmtId="0" fontId="8" fillId="2" borderId="0" xfId="0" applyFont="1" applyFill="1" applyAlignment="1">
      <alignment horizontal="center"/>
    </xf>
    <xf numFmtId="43" fontId="8" fillId="2" borderId="0" xfId="0" applyNumberFormat="1" applyFont="1" applyFill="1"/>
    <xf numFmtId="4" fontId="8" fillId="2" borderId="0" xfId="0" applyNumberFormat="1" applyFont="1" applyFill="1"/>
    <xf numFmtId="0" fontId="8" fillId="2" borderId="0" xfId="0" applyFont="1" applyFill="1" applyAlignment="1">
      <alignment wrapText="1"/>
    </xf>
    <xf numFmtId="0" fontId="50" fillId="2" borderId="0" xfId="0" applyFont="1" applyFill="1"/>
    <xf numFmtId="0" fontId="8" fillId="2" borderId="0" xfId="0" applyFont="1" applyFill="1" applyAlignment="1">
      <alignment horizontal="left" wrapText="1"/>
    </xf>
    <xf numFmtId="0" fontId="41" fillId="3" borderId="1" xfId="0" applyFont="1" applyFill="1" applyBorder="1" applyProtection="1">
      <protection locked="0"/>
    </xf>
    <xf numFmtId="0" fontId="40" fillId="2" borderId="0" xfId="0" applyFont="1" applyFill="1" applyAlignment="1">
      <alignment horizontal="right"/>
    </xf>
    <xf numFmtId="0" fontId="8" fillId="2" borderId="0" xfId="0" applyFont="1" applyFill="1" applyAlignment="1">
      <alignment horizontal="left"/>
    </xf>
    <xf numFmtId="0" fontId="8" fillId="2" borderId="0" xfId="0" applyFont="1" applyFill="1" applyAlignment="1">
      <alignment horizontal="right"/>
    </xf>
    <xf numFmtId="0" fontId="40" fillId="2" borderId="0" xfId="0" applyFont="1" applyFill="1" applyAlignment="1">
      <alignment horizontal="left"/>
    </xf>
    <xf numFmtId="0" fontId="53" fillId="2" borderId="0" xfId="0" applyFont="1" applyFill="1"/>
    <xf numFmtId="0" fontId="44" fillId="2" borderId="0" xfId="0" applyFont="1" applyFill="1"/>
    <xf numFmtId="0" fontId="53" fillId="2" borderId="0" xfId="0" applyFont="1" applyFill="1" applyAlignment="1">
      <alignment vertical="top" wrapText="1"/>
    </xf>
    <xf numFmtId="0" fontId="55" fillId="2" borderId="0" xfId="0" applyFont="1" applyFill="1"/>
    <xf numFmtId="0" fontId="56" fillId="2" borderId="0" xfId="0" applyFont="1" applyFill="1" applyAlignment="1">
      <alignment wrapText="1"/>
    </xf>
    <xf numFmtId="0" fontId="57" fillId="2" borderId="0" xfId="0" applyFont="1" applyFill="1"/>
    <xf numFmtId="0" fontId="42" fillId="2" borderId="0" xfId="0" applyFont="1" applyFill="1"/>
    <xf numFmtId="0" fontId="42" fillId="2" borderId="0" xfId="0" applyFont="1" applyFill="1" applyAlignment="1">
      <alignment vertical="top" wrapText="1"/>
    </xf>
    <xf numFmtId="0" fontId="52" fillId="2" borderId="0" xfId="0" applyFont="1" applyFill="1"/>
    <xf numFmtId="0" fontId="8" fillId="2" borderId="0" xfId="0" applyFont="1" applyFill="1" applyAlignment="1">
      <alignment vertical="top"/>
    </xf>
    <xf numFmtId="0" fontId="53" fillId="2" borderId="0" xfId="0" applyFont="1" applyFill="1" applyAlignment="1">
      <alignment vertical="top"/>
    </xf>
    <xf numFmtId="0" fontId="59" fillId="2" borderId="0" xfId="0" applyFont="1" applyFill="1"/>
    <xf numFmtId="0" fontId="41" fillId="2" borderId="0" xfId="0" applyFont="1" applyFill="1" applyAlignment="1">
      <alignment horizontal="right"/>
    </xf>
    <xf numFmtId="0" fontId="41" fillId="2" borderId="0" xfId="0" applyFont="1" applyFill="1"/>
    <xf numFmtId="0" fontId="61" fillId="2" borderId="0" xfId="0" applyFont="1" applyFill="1"/>
    <xf numFmtId="0" fontId="0" fillId="2" borderId="5" xfId="0" applyFill="1" applyBorder="1"/>
    <xf numFmtId="0" fontId="0" fillId="2" borderId="6" xfId="0" applyFill="1" applyBorder="1"/>
    <xf numFmtId="4" fontId="0" fillId="2" borderId="6" xfId="0" applyNumberFormat="1" applyFill="1" applyBorder="1"/>
    <xf numFmtId="0" fontId="0" fillId="2" borderId="7" xfId="0" applyFill="1" applyBorder="1"/>
    <xf numFmtId="4" fontId="0" fillId="2" borderId="7" xfId="0" applyNumberFormat="1" applyFill="1" applyBorder="1"/>
    <xf numFmtId="0" fontId="0" fillId="2" borderId="7" xfId="0" applyFill="1" applyBorder="1" applyAlignment="1">
      <alignment vertical="center"/>
    </xf>
    <xf numFmtId="0" fontId="0" fillId="2" borderId="6" xfId="0" applyFill="1" applyBorder="1" applyAlignment="1">
      <alignment vertical="center"/>
    </xf>
    <xf numFmtId="0" fontId="0" fillId="2" borderId="5" xfId="0" applyFill="1" applyBorder="1" applyAlignment="1">
      <alignment vertical="center"/>
    </xf>
    <xf numFmtId="4" fontId="0" fillId="2" borderId="7" xfId="0" applyNumberFormat="1" applyFill="1" applyBorder="1" applyAlignment="1">
      <alignment vertical="center"/>
    </xf>
    <xf numFmtId="4" fontId="0" fillId="2" borderId="6" xfId="0" applyNumberFormat="1" applyFill="1" applyBorder="1" applyAlignment="1">
      <alignment vertical="center"/>
    </xf>
    <xf numFmtId="4" fontId="0" fillId="2" borderId="5" xfId="0" applyNumberFormat="1" applyFill="1" applyBorder="1" applyAlignment="1">
      <alignment vertical="center"/>
    </xf>
    <xf numFmtId="1" fontId="0" fillId="2" borderId="6" xfId="0" applyNumberFormat="1" applyFill="1" applyBorder="1" applyAlignment="1">
      <alignment horizontal="right"/>
    </xf>
    <xf numFmtId="4" fontId="0" fillId="2" borderId="0" xfId="0" applyNumberFormat="1" applyFill="1" applyAlignment="1">
      <alignment vertical="center"/>
    </xf>
    <xf numFmtId="0" fontId="62" fillId="2" borderId="0" xfId="0" applyFont="1" applyFill="1"/>
    <xf numFmtId="4" fontId="62" fillId="2" borderId="0" xfId="0" applyNumberFormat="1" applyFont="1" applyFill="1"/>
    <xf numFmtId="0" fontId="63" fillId="2" borderId="0" xfId="0" applyFont="1" applyFill="1"/>
    <xf numFmtId="0" fontId="63" fillId="2" borderId="0" xfId="0" applyFont="1" applyFill="1" applyAlignment="1">
      <alignment vertical="center"/>
    </xf>
    <xf numFmtId="0" fontId="63" fillId="2" borderId="0" xfId="0" applyFont="1" applyFill="1" applyAlignment="1">
      <alignment horizontal="right"/>
    </xf>
    <xf numFmtId="1" fontId="0" fillId="2" borderId="7" xfId="0" applyNumberFormat="1" applyFill="1" applyBorder="1" applyAlignment="1">
      <alignment horizontal="right"/>
    </xf>
    <xf numFmtId="1" fontId="0" fillId="2" borderId="5" xfId="0" applyNumberFormat="1" applyFill="1" applyBorder="1" applyAlignment="1">
      <alignment horizontal="right"/>
    </xf>
    <xf numFmtId="0" fontId="63" fillId="2" borderId="5" xfId="0" applyFont="1" applyFill="1" applyBorder="1"/>
    <xf numFmtId="0" fontId="53" fillId="2" borderId="0" xfId="0" applyFont="1" applyFill="1" applyAlignment="1">
      <alignment horizontal="center" vertical="center" wrapText="1"/>
    </xf>
    <xf numFmtId="2" fontId="8" fillId="2" borderId="1" xfId="0" applyNumberFormat="1" applyFont="1" applyFill="1" applyBorder="1"/>
    <xf numFmtId="0" fontId="7" fillId="2" borderId="0" xfId="0" applyFont="1" applyFill="1"/>
    <xf numFmtId="0" fontId="66" fillId="2" borderId="0" xfId="0" applyFont="1" applyFill="1"/>
    <xf numFmtId="0" fontId="37" fillId="2" borderId="0" xfId="0" applyFont="1" applyFill="1"/>
    <xf numFmtId="0" fontId="6" fillId="2" borderId="0" xfId="0" applyFont="1" applyFill="1" applyAlignment="1">
      <alignment vertical="center" wrapText="1"/>
    </xf>
    <xf numFmtId="0" fontId="6" fillId="2" borderId="0" xfId="0" applyFont="1" applyFill="1" applyAlignment="1">
      <alignment vertical="center"/>
    </xf>
    <xf numFmtId="0" fontId="14" fillId="4" borderId="0" xfId="0" applyFont="1" applyFill="1" applyAlignment="1">
      <alignment horizontal="right" vertical="center" wrapText="1"/>
    </xf>
    <xf numFmtId="0" fontId="14" fillId="4" borderId="0" xfId="0" applyFont="1" applyFill="1" applyAlignment="1">
      <alignment horizontal="right" vertical="top"/>
    </xf>
    <xf numFmtId="0" fontId="22" fillId="4" borderId="0" xfId="0" applyFont="1" applyFill="1" applyAlignment="1">
      <alignment horizontal="left"/>
    </xf>
    <xf numFmtId="0" fontId="21" fillId="4" borderId="0" xfId="0" applyFont="1" applyFill="1"/>
    <xf numFmtId="0" fontId="0" fillId="4" borderId="0" xfId="0" applyFill="1" applyAlignment="1">
      <alignment horizontal="left"/>
    </xf>
    <xf numFmtId="0" fontId="0" fillId="4" borderId="0" xfId="0" applyFill="1" applyAlignment="1">
      <alignment horizontal="right" vertical="center" wrapText="1"/>
    </xf>
    <xf numFmtId="0" fontId="0" fillId="4" borderId="0" xfId="0" applyFill="1" applyAlignment="1">
      <alignment horizontal="right" vertical="top"/>
    </xf>
    <xf numFmtId="0" fontId="15" fillId="4" borderId="0" xfId="0" applyFont="1" applyFill="1"/>
    <xf numFmtId="0" fontId="21" fillId="4" borderId="0" xfId="0" applyFont="1" applyFill="1" applyAlignment="1">
      <alignment horizontal="left"/>
    </xf>
    <xf numFmtId="0" fontId="21" fillId="4" borderId="0" xfId="0" applyFont="1" applyFill="1" applyAlignment="1">
      <alignment horizontal="right"/>
    </xf>
    <xf numFmtId="0" fontId="29" fillId="4" borderId="0" xfId="0" applyFont="1" applyFill="1"/>
    <xf numFmtId="0" fontId="27" fillId="4" borderId="0" xfId="0" applyFont="1" applyFill="1"/>
    <xf numFmtId="2" fontId="8" fillId="2" borderId="0" xfId="0" applyNumberFormat="1" applyFont="1" applyFill="1"/>
    <xf numFmtId="2" fontId="0" fillId="2" borderId="1" xfId="0" applyNumberFormat="1" applyFill="1" applyBorder="1"/>
    <xf numFmtId="0" fontId="6" fillId="2" borderId="0" xfId="0" applyFont="1" applyFill="1"/>
    <xf numFmtId="0" fontId="0" fillId="4" borderId="0" xfId="0" applyFill="1" applyAlignment="1">
      <alignment wrapText="1"/>
    </xf>
    <xf numFmtId="2" fontId="0" fillId="2" borderId="0" xfId="0" applyNumberFormat="1" applyFill="1"/>
    <xf numFmtId="4" fontId="57" fillId="2" borderId="1" xfId="0" applyNumberFormat="1" applyFont="1" applyFill="1" applyBorder="1"/>
    <xf numFmtId="0" fontId="8" fillId="0" borderId="1" xfId="0" applyFont="1" applyBorder="1"/>
    <xf numFmtId="0" fontId="0" fillId="2" borderId="7" xfId="0" applyFill="1" applyBorder="1" applyAlignment="1">
      <alignment horizontal="right" vertical="center"/>
    </xf>
    <xf numFmtId="0" fontId="72" fillId="2" borderId="0" xfId="1" applyFont="1" applyFill="1"/>
    <xf numFmtId="0" fontId="73" fillId="2" borderId="0" xfId="0" applyFont="1" applyFill="1"/>
    <xf numFmtId="1" fontId="37" fillId="2" borderId="0" xfId="0" applyNumberFormat="1" applyFont="1" applyFill="1" applyProtection="1">
      <protection locked="0"/>
    </xf>
    <xf numFmtId="0" fontId="5" fillId="2" borderId="0" xfId="0" applyFont="1" applyFill="1"/>
    <xf numFmtId="0" fontId="14" fillId="4" borderId="0" xfId="0" applyFont="1" applyFill="1" applyAlignment="1">
      <alignment vertical="top"/>
    </xf>
    <xf numFmtId="0" fontId="74" fillId="2" borderId="0" xfId="0" applyFont="1" applyFill="1"/>
    <xf numFmtId="0" fontId="4" fillId="2" borderId="0" xfId="0" applyFont="1" applyFill="1" applyAlignment="1">
      <alignment wrapText="1"/>
    </xf>
    <xf numFmtId="0" fontId="14" fillId="4" borderId="0" xfId="0" applyFont="1" applyFill="1" applyAlignment="1">
      <alignment horizontal="right" wrapText="1"/>
    </xf>
    <xf numFmtId="0" fontId="42" fillId="2" borderId="0" xfId="0" applyFont="1" applyFill="1" applyAlignment="1">
      <alignment vertical="top"/>
    </xf>
    <xf numFmtId="0" fontId="41" fillId="2" borderId="0" xfId="0" applyFont="1" applyFill="1" applyProtection="1">
      <protection locked="0"/>
    </xf>
    <xf numFmtId="0" fontId="16" fillId="4" borderId="0" xfId="0" applyFont="1" applyFill="1"/>
    <xf numFmtId="0" fontId="23" fillId="4" borderId="0" xfId="0" applyFont="1" applyFill="1" applyAlignment="1">
      <alignment wrapText="1"/>
    </xf>
    <xf numFmtId="0" fontId="14" fillId="4" borderId="0" xfId="0" applyFont="1" applyFill="1" applyAlignment="1">
      <alignment horizontal="left" wrapText="1"/>
    </xf>
    <xf numFmtId="1" fontId="22" fillId="4" borderId="0" xfId="0" applyNumberFormat="1" applyFont="1" applyFill="1"/>
    <xf numFmtId="0" fontId="39" fillId="4" borderId="0" xfId="0" applyFont="1" applyFill="1"/>
    <xf numFmtId="0" fontId="14" fillId="4" borderId="0" xfId="0" applyFont="1" applyFill="1" applyAlignment="1">
      <alignment horizontal="left"/>
    </xf>
    <xf numFmtId="0" fontId="2" fillId="2" borderId="0" xfId="0" applyFont="1" applyFill="1"/>
    <xf numFmtId="0" fontId="76" fillId="2" borderId="6" xfId="0" applyFont="1" applyFill="1" applyBorder="1" applyAlignment="1">
      <alignment vertical="center"/>
    </xf>
    <xf numFmtId="0" fontId="77" fillId="4" borderId="0" xfId="0" applyFont="1" applyFill="1"/>
    <xf numFmtId="0" fontId="3" fillId="2" borderId="0" xfId="0" applyFont="1" applyFill="1"/>
    <xf numFmtId="0" fontId="22" fillId="2" borderId="7" xfId="0" applyFont="1" applyFill="1" applyBorder="1"/>
    <xf numFmtId="0" fontId="78" fillId="2" borderId="0" xfId="0" applyFont="1" applyFill="1" applyAlignment="1">
      <alignment horizontal="right"/>
    </xf>
    <xf numFmtId="0" fontId="42" fillId="2" borderId="0" xfId="0" applyFont="1" applyFill="1" applyAlignment="1">
      <alignment vertical="center"/>
    </xf>
    <xf numFmtId="0" fontId="37" fillId="3" borderId="1" xfId="0" applyFont="1" applyFill="1" applyBorder="1" applyProtection="1">
      <protection locked="0"/>
    </xf>
    <xf numFmtId="0" fontId="80" fillId="2" borderId="0" xfId="0" applyFont="1" applyFill="1"/>
    <xf numFmtId="0" fontId="0" fillId="3" borderId="0" xfId="0" applyFill="1"/>
    <xf numFmtId="0" fontId="21" fillId="3" borderId="0" xfId="0" applyFont="1" applyFill="1"/>
    <xf numFmtId="0" fontId="81" fillId="4" borderId="0" xfId="0" applyFont="1" applyFill="1"/>
    <xf numFmtId="0" fontId="82" fillId="2" borderId="0" xfId="1" applyFont="1" applyFill="1" applyAlignment="1" applyProtection="1">
      <alignment horizontal="left" vertical="center" wrapText="1"/>
    </xf>
    <xf numFmtId="0" fontId="82" fillId="2" borderId="0" xfId="1" applyFont="1" applyFill="1" applyAlignment="1" applyProtection="1">
      <alignment horizontal="left" vertical="center"/>
    </xf>
    <xf numFmtId="0" fontId="29" fillId="4" borderId="0" xfId="0" applyFont="1" applyFill="1" applyAlignment="1">
      <alignment horizontal="left"/>
    </xf>
    <xf numFmtId="0" fontId="8" fillId="2" borderId="0" xfId="0" applyFont="1" applyFill="1" applyAlignment="1">
      <alignment vertical="center" wrapText="1"/>
    </xf>
    <xf numFmtId="0" fontId="8" fillId="2" borderId="0" xfId="0" applyFont="1" applyFill="1" applyAlignment="1">
      <alignment wrapText="1"/>
    </xf>
    <xf numFmtId="0" fontId="22" fillId="2" borderId="0" xfId="0" applyFont="1" applyFill="1" applyAlignment="1">
      <alignment vertical="center" wrapText="1"/>
    </xf>
    <xf numFmtId="0" fontId="22" fillId="2" borderId="0" xfId="0" applyFont="1" applyFill="1" applyAlignment="1">
      <alignment wrapText="1"/>
    </xf>
    <xf numFmtId="0" fontId="11" fillId="2" borderId="0" xfId="0" applyFont="1" applyFill="1" applyAlignment="1">
      <alignment vertical="center" wrapText="1"/>
    </xf>
    <xf numFmtId="0" fontId="0" fillId="2" borderId="0" xfId="0" applyFill="1" applyAlignment="1">
      <alignment wrapText="1"/>
    </xf>
    <xf numFmtId="0" fontId="8" fillId="2" borderId="0" xfId="0" applyFont="1" applyFill="1" applyAlignment="1">
      <alignment vertical="top" wrapText="1"/>
    </xf>
    <xf numFmtId="0" fontId="8" fillId="0" borderId="0" xfId="0" applyFont="1" applyAlignment="1">
      <alignment wrapText="1"/>
    </xf>
    <xf numFmtId="0" fontId="53" fillId="2" borderId="0" xfId="0" applyFont="1" applyFill="1" applyAlignment="1">
      <alignment vertical="top" wrapText="1"/>
    </xf>
    <xf numFmtId="0" fontId="46" fillId="2" borderId="0" xfId="0" applyFont="1" applyFill="1" applyAlignment="1">
      <alignment vertical="center" wrapText="1"/>
    </xf>
    <xf numFmtId="0" fontId="14" fillId="2" borderId="0" xfId="0" applyFont="1" applyFill="1" applyAlignment="1">
      <alignment wrapText="1"/>
    </xf>
    <xf numFmtId="0" fontId="0" fillId="0" borderId="0" xfId="0" applyAlignment="1">
      <alignment wrapText="1"/>
    </xf>
    <xf numFmtId="0" fontId="0" fillId="0" borderId="0" xfId="0"/>
    <xf numFmtId="0" fontId="53" fillId="2" borderId="2"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3" xfId="0" applyFill="1" applyBorder="1" applyAlignment="1">
      <alignment horizontal="center" vertical="center" wrapText="1"/>
    </xf>
    <xf numFmtId="0" fontId="22" fillId="2" borderId="0" xfId="0" applyFont="1" applyFill="1" applyAlignment="1">
      <alignment vertical="top" wrapText="1"/>
    </xf>
    <xf numFmtId="0" fontId="0" fillId="2" borderId="0" xfId="0" applyFill="1" applyAlignment="1">
      <alignment vertical="top" wrapText="1"/>
    </xf>
    <xf numFmtId="0" fontId="13" fillId="2" borderId="0" xfId="1" applyFont="1" applyFill="1" applyAlignment="1" applyProtection="1">
      <alignment horizontal="left" vertical="center" wrapText="1"/>
    </xf>
    <xf numFmtId="0" fontId="0" fillId="2" borderId="0" xfId="0" applyFill="1" applyAlignment="1">
      <alignment vertical="center"/>
    </xf>
    <xf numFmtId="0" fontId="42" fillId="2" borderId="0" xfId="0" applyFont="1" applyFill="1" applyAlignment="1">
      <alignment vertical="top" wrapText="1"/>
    </xf>
    <xf numFmtId="0" fontId="6" fillId="2" borderId="0" xfId="0" applyFont="1" applyFill="1" applyAlignment="1">
      <alignment wrapText="1"/>
    </xf>
    <xf numFmtId="0" fontId="6" fillId="0" borderId="0" xfId="0" applyFont="1" applyAlignment="1">
      <alignment wrapText="1"/>
    </xf>
    <xf numFmtId="0" fontId="0" fillId="0" borderId="0" xfId="0" applyAlignment="1">
      <alignment vertical="top" wrapText="1"/>
    </xf>
    <xf numFmtId="0" fontId="0" fillId="2" borderId="0" xfId="0" applyFill="1"/>
    <xf numFmtId="0" fontId="42" fillId="2" borderId="0" xfId="0" applyFont="1" applyFill="1" applyAlignment="1">
      <alignment vertical="center"/>
    </xf>
    <xf numFmtId="0" fontId="83" fillId="0" borderId="0" xfId="0" applyFont="1" applyAlignment="1">
      <alignment vertical="top" wrapText="1"/>
    </xf>
    <xf numFmtId="0" fontId="14" fillId="4" borderId="0" xfId="0" applyFont="1" applyFill="1" applyAlignment="1">
      <alignment wrapText="1"/>
    </xf>
    <xf numFmtId="0" fontId="14" fillId="4" borderId="0" xfId="0" applyFont="1" applyFill="1"/>
  </cellXfs>
  <cellStyles count="2">
    <cellStyle name="Hyperlink" xfId="1" builtinId="8"/>
    <cellStyle name="Standaard" xfId="0" builtinId="0"/>
  </cellStyles>
  <dxfs count="9">
    <dxf>
      <font>
        <color rgb="FFF8F8F8"/>
      </font>
      <fill>
        <patternFill>
          <bgColor rgb="FFF8F8F8"/>
        </patternFill>
      </fill>
    </dxf>
    <dxf>
      <border>
        <left/>
        <right/>
        <top/>
        <bottom/>
        <vertical/>
        <horizontal/>
      </border>
    </dxf>
    <dxf>
      <font>
        <color rgb="FFF8F8F8"/>
      </font>
      <fill>
        <patternFill>
          <bgColor rgb="FFF8F8F8"/>
        </patternFill>
      </fill>
    </dxf>
    <dxf>
      <border>
        <left/>
        <right/>
        <top/>
        <bottom/>
        <vertical/>
        <horizontal/>
      </border>
    </dxf>
    <dxf>
      <fill>
        <patternFill>
          <bgColor rgb="FFF8F8F8"/>
        </patternFill>
      </fill>
      <border>
        <left/>
        <right/>
        <top/>
        <bottom/>
        <vertical/>
        <horizontal/>
      </border>
    </dxf>
    <dxf>
      <fill>
        <patternFill>
          <bgColor rgb="FFF8F8F8"/>
        </patternFill>
      </fill>
    </dxf>
    <dxf>
      <fill>
        <patternFill>
          <bgColor rgb="FFF8F8F8"/>
        </patternFill>
      </fill>
      <border>
        <left/>
        <right/>
        <top/>
        <bottom/>
        <vertical/>
        <horizontal/>
      </border>
    </dxf>
    <dxf>
      <fill>
        <patternFill>
          <bgColor rgb="FFF8F8F8"/>
        </patternFill>
      </fill>
    </dxf>
    <dxf>
      <font>
        <color rgb="FFD4351C"/>
      </font>
    </dxf>
  </dxfs>
  <tableStyles count="0" defaultTableStyle="TableStyleMedium2" defaultPivotStyle="PivotStyleLight16"/>
  <colors>
    <mruColors>
      <color rgb="FFF8F8F8"/>
      <color rgb="FFD4351C"/>
      <color rgb="FF000000"/>
      <color rgb="FF92D050"/>
      <color rgb="FF007BC7"/>
      <color rgb="FFFFB612"/>
      <color rgb="FFC00000"/>
      <color rgb="FF8FCAE7"/>
      <color rgb="FFFFE9B7"/>
      <color rgb="FFEEF7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Hulpblad!$B$15"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checked="Checked" firstButton="1" fmlaLink="Hulpblad!$B$142"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checked="Checked" firstButton="1" fmlaLink="Hulpblad!$B$154"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firstButton="1" fmlaLink="Hulpblad!$B$48"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CheckBox" fmlaLink="Hulpblad!$B$80"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checked="Checked" firstButton="1" fmlaLink="Hulpblad!$B$26"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checked="Checked" firstButton="1" fmlaLink="Hulpblad!$B$31"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lockText="1" noThreeD="1"/>
</file>

<file path=xl/ctrlProps/ctrlProp121.xml><?xml version="1.0" encoding="utf-8"?>
<formControlPr xmlns="http://schemas.microsoft.com/office/spreadsheetml/2009/9/main" objectType="Radio" checked="Checked" firstButton="1" fmlaLink="Hulpblad!$B$70"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Radio" checked="Checked" firstButton="1" fmlaLink="Hulpblad!$B$75"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CheckBox" fmlaLink="Hulpblad!$B$81" lockText="1" noThreeD="1"/>
</file>

<file path=xl/ctrlProps/ctrlProp129.xml><?xml version="1.0" encoding="utf-8"?>
<formControlPr xmlns="http://schemas.microsoft.com/office/spreadsheetml/2009/9/main" objectType="CheckBox" fmlaLink="Hulpblad!$B$85" lockText="1" noThreeD="1"/>
</file>

<file path=xl/ctrlProps/ctrlProp13.xml><?xml version="1.0" encoding="utf-8"?>
<formControlPr xmlns="http://schemas.microsoft.com/office/spreadsheetml/2009/9/main" objectType="Radio" checked="Checked" firstButton="1" fmlaLink="Hulpblad!$B$53" lockText="1" noThreeD="1"/>
</file>

<file path=xl/ctrlProps/ctrlProp130.xml><?xml version="1.0" encoding="utf-8"?>
<formControlPr xmlns="http://schemas.microsoft.com/office/spreadsheetml/2009/9/main" objectType="CheckBox" fmlaLink="Hulpblad!$C$96" lockText="1" noThreeD="1"/>
</file>

<file path=xl/ctrlProps/ctrlProp131.xml><?xml version="1.0" encoding="utf-8"?>
<formControlPr xmlns="http://schemas.microsoft.com/office/spreadsheetml/2009/9/main" objectType="CheckBox" fmlaLink="Hulpblad!$C$97" lockText="1" noThreeD="1"/>
</file>

<file path=xl/ctrlProps/ctrlProp132.xml><?xml version="1.0" encoding="utf-8"?>
<formControlPr xmlns="http://schemas.microsoft.com/office/spreadsheetml/2009/9/main" objectType="CheckBox" fmlaLink="Hulpblad!$C$108" lockText="1" noThreeD="1"/>
</file>

<file path=xl/ctrlProps/ctrlProp133.xml><?xml version="1.0" encoding="utf-8"?>
<formControlPr xmlns="http://schemas.microsoft.com/office/spreadsheetml/2009/9/main" objectType="CheckBox" fmlaLink="Hulpblad!$C$109" lockText="1" noThreeD="1"/>
</file>

<file path=xl/ctrlProps/ctrlProp134.xml><?xml version="1.0" encoding="utf-8"?>
<formControlPr xmlns="http://schemas.microsoft.com/office/spreadsheetml/2009/9/main" objectType="CheckBox" fmlaLink="Hulpblad!$C$120" lockText="1" noThreeD="1"/>
</file>

<file path=xl/ctrlProps/ctrlProp135.xml><?xml version="1.0" encoding="utf-8"?>
<formControlPr xmlns="http://schemas.microsoft.com/office/spreadsheetml/2009/9/main" objectType="CheckBox" fmlaLink="Hulpblad!$C$121" lockText="1" noThreeD="1"/>
</file>

<file path=xl/ctrlProps/ctrlProp136.xml><?xml version="1.0" encoding="utf-8"?>
<formControlPr xmlns="http://schemas.microsoft.com/office/spreadsheetml/2009/9/main" objectType="CheckBox" fmlaLink="Hulpblad!$C$132" lockText="1" noThreeD="1"/>
</file>

<file path=xl/ctrlProps/ctrlProp137.xml><?xml version="1.0" encoding="utf-8"?>
<formControlPr xmlns="http://schemas.microsoft.com/office/spreadsheetml/2009/9/main" objectType="CheckBox" fmlaLink="Hulpblad!$C$133" lockText="1" noThreeD="1"/>
</file>

<file path=xl/ctrlProps/ctrlProp138.xml><?xml version="1.0" encoding="utf-8"?>
<formControlPr xmlns="http://schemas.microsoft.com/office/spreadsheetml/2009/9/main" objectType="CheckBox" fmlaLink="Hulpblad!$C$144" lockText="1" noThreeD="1"/>
</file>

<file path=xl/ctrlProps/ctrlProp139.xml><?xml version="1.0" encoding="utf-8"?>
<formControlPr xmlns="http://schemas.microsoft.com/office/spreadsheetml/2009/9/main" objectType="CheckBox" fmlaLink="Hulpblad!$C$145"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CheckBox" fmlaLink="Hulpblad!$C$156" lockText="1" noThreeD="1"/>
</file>

<file path=xl/ctrlProps/ctrlProp141.xml><?xml version="1.0" encoding="utf-8"?>
<formControlPr xmlns="http://schemas.microsoft.com/office/spreadsheetml/2009/9/main" objectType="CheckBox" fmlaLink="Hulpblad!$C$157" lockText="1" noThreeD="1"/>
</file>

<file path=xl/ctrlProps/ctrlProp142.xml><?xml version="1.0" encoding="utf-8"?>
<formControlPr xmlns="http://schemas.microsoft.com/office/spreadsheetml/2009/9/main" objectType="Radio" checked="Checked" firstButton="1" fmlaLink="Hulpblad!$B$190"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Radio" checked="Checked" firstButton="1" fmlaLink="Hulpblad!$B$194"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Radio" checked="Checked" firstButton="1" fmlaLink="Hulpblad!$B$200" lockText="1" noThreeD="1"/>
</file>

<file path=xl/ctrlProps/ctrlProp15.xml><?xml version="1.0" encoding="utf-8"?>
<formControlPr xmlns="http://schemas.microsoft.com/office/spreadsheetml/2009/9/main" objectType="Radio" checked="Checked" firstButton="1" fmlaLink="Hulpblad!$B$59"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checked="Checked" firstButton="1" fmlaLink="Hulpblad!$B$265" lockText="1"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checked="Checked" firstButton="1" fmlaLink="Hulpblad!$B$273"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fmlaLink="Hulpblad!$B$64" lockText="1" noThreeD="1"/>
</file>

<file path=xl/ctrlProps/ctrlProp170.xml><?xml version="1.0" encoding="utf-8"?>
<formControlPr xmlns="http://schemas.microsoft.com/office/spreadsheetml/2009/9/main" objectType="Radio" checked="Checked" firstButton="1" fmlaLink="Hulpblad!$B$280"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checked="Checked" firstButton="1" fmlaLink="Hulpblad!$B$209"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GBox" noThreeD="1"/>
</file>

<file path=xl/ctrlProps/ctrlProp19.xml><?xml version="1.0" encoding="utf-8"?>
<formControlPr xmlns="http://schemas.microsoft.com/office/spreadsheetml/2009/9/main" objectType="Radio" checked="Checked" firstButton="1" fmlaLink="Hulpblad!$B$224"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checked="Checked" firstButton="1" fmlaLink="Hulpblad!$B$232"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fmlaLink="Hulpblad!$B$9"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Hulpblad!$B$20"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CheckBox" fmlaLink="Hulpblad!$B$82" lockText="1" noThreeD="1"/>
</file>

<file path=xl/ctrlProps/ctrlProp53.xml><?xml version="1.0" encoding="utf-8"?>
<formControlPr xmlns="http://schemas.microsoft.com/office/spreadsheetml/2009/9/main" objectType="CheckBox" fmlaLink="Hulpblad!$B$83" lockText="1" noThreeD="1"/>
</file>

<file path=xl/ctrlProps/ctrlProp54.xml><?xml version="1.0" encoding="utf-8"?>
<formControlPr xmlns="http://schemas.microsoft.com/office/spreadsheetml/2009/9/main" objectType="CheckBox" fmlaLink="Hulpblad!$B$84" lockText="1" noThreeD="1"/>
</file>

<file path=xl/ctrlProps/ctrlProp55.xml><?xml version="1.0" encoding="utf-8"?>
<formControlPr xmlns="http://schemas.microsoft.com/office/spreadsheetml/2009/9/main" objectType="Radio" checked="Checked" firstButton="1" fmlaLink="Hulpblad!$B$239"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checked="Checked" firstButton="1" fmlaLink="Hulpblad!$B$301" lockText="1" noThreeD="1"/>
</file>

<file path=xl/ctrlProps/ctrlProp6.xml><?xml version="1.0" encoding="utf-8"?>
<formControlPr xmlns="http://schemas.microsoft.com/office/spreadsheetml/2009/9/main" objectType="Radio" checked="Checked" firstButton="1" fmlaLink="Hulpblad!B37"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checked="Checked" firstButton="1" fmlaLink="Hulpblad!$B$313"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checked="Checked" firstButton="1" fmlaLink="Hulpblad!$B$317"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checked="Checked" firstButton="1" fmlaLink="Hulpblad!$B$306"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checked="Checked" firstButton="1" fmlaLink="Hulpblad!$B$325"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checked="Checked" firstButton="1" fmlaLink="Hulpblad!$E$325"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checked="Checked" firstButton="1" fmlaLink="Hulpblad!$H$325" lockText="1" noThreeD="1"/>
</file>

<file path=xl/ctrlProps/ctrlProp8.xml><?xml version="1.0" encoding="utf-8"?>
<formControlPr xmlns="http://schemas.microsoft.com/office/spreadsheetml/2009/9/main" objectType="Radio" checked="Checked" firstButton="1" fmlaLink="Hulpblad!$B$42"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checked="Checked" firstButton="1" fmlaLink="Hulpblad!$K$325"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checked="Checked" firstButton="1" fmlaLink="Hulpblad!$B$89"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checked="Checked" firstButton="1" fmlaLink="Hulpblad!$B94"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checked="Checked" firstButton="1" fmlaLink="Hulpblad!$B$106"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checked="Checked" firstButton="1" fmlaLink="Hulpblad!$B$118"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checked="Checked" firstButton="1" fmlaLink="Hulpblad!$B$130"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30</xdr:row>
          <xdr:rowOff>0</xdr:rowOff>
        </xdr:from>
        <xdr:to>
          <xdr:col>2</xdr:col>
          <xdr:colOff>2266950</xdr:colOff>
          <xdr:row>30</xdr:row>
          <xdr:rowOff>180975</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dakisolatie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2</xdr:col>
          <xdr:colOff>2695575</xdr:colOff>
          <xdr:row>33</xdr:row>
          <xdr:rowOff>28575</xdr:rowOff>
        </xdr:to>
        <xdr:sp macro="" textlink="">
          <xdr:nvSpPr>
            <xdr:cNvPr id="1136" name="Group Box 112" descr="Dakisolatie"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Dakisolatie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285750</xdr:rowOff>
        </xdr:from>
        <xdr:to>
          <xdr:col>2</xdr:col>
          <xdr:colOff>2695575</xdr:colOff>
          <xdr:row>23</xdr:row>
          <xdr:rowOff>47625</xdr:rowOff>
        </xdr:to>
        <xdr:sp macro="" textlink="">
          <xdr:nvSpPr>
            <xdr:cNvPr id="1141" name="Group Box 117" descr="Dakisolatie"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Opgave eerder ontvangen ISDE-subsidie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9525</xdr:rowOff>
        </xdr:from>
        <xdr:to>
          <xdr:col>2</xdr:col>
          <xdr:colOff>2352675</xdr:colOff>
          <xdr:row>20</xdr:row>
          <xdr:rowOff>190500</xdr:rowOff>
        </xdr:to>
        <xdr:sp macro="" textlink="">
          <xdr:nvSpPr>
            <xdr:cNvPr id="1142" name="Option Butto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 ik heb niet eerder ISDE-subsidie ontvangen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29</xdr:row>
          <xdr:rowOff>171450</xdr:rowOff>
        </xdr:from>
        <xdr:to>
          <xdr:col>4</xdr:col>
          <xdr:colOff>2495550</xdr:colOff>
          <xdr:row>31</xdr:row>
          <xdr:rowOff>0</xdr:rowOff>
        </xdr:to>
        <xdr:sp macro="" textlink="">
          <xdr:nvSpPr>
            <xdr:cNvPr id="1145" name="Option Button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42</xdr:row>
          <xdr:rowOff>9525</xdr:rowOff>
        </xdr:from>
        <xdr:to>
          <xdr:col>2</xdr:col>
          <xdr:colOff>2324100</xdr:colOff>
          <xdr:row>43</xdr:row>
          <xdr:rowOff>0</xdr:rowOff>
        </xdr:to>
        <xdr:sp macro="" textlink="">
          <xdr:nvSpPr>
            <xdr:cNvPr id="1152" name="Option Button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gevelisolatie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2</xdr:col>
          <xdr:colOff>2695575</xdr:colOff>
          <xdr:row>45</xdr:row>
          <xdr:rowOff>28575</xdr:rowOff>
        </xdr:to>
        <xdr:sp macro="" textlink="">
          <xdr:nvSpPr>
            <xdr:cNvPr id="1157" name="Group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Gevelisolatie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41</xdr:row>
          <xdr:rowOff>171450</xdr:rowOff>
        </xdr:from>
        <xdr:to>
          <xdr:col>4</xdr:col>
          <xdr:colOff>2390775</xdr:colOff>
          <xdr:row>43</xdr:row>
          <xdr:rowOff>9525</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0</xdr:rowOff>
        </xdr:from>
        <xdr:to>
          <xdr:col>4</xdr:col>
          <xdr:colOff>2705100</xdr:colOff>
          <xdr:row>33</xdr:row>
          <xdr:rowOff>28575</xdr:rowOff>
        </xdr:to>
        <xdr:sp macro="" textlink="">
          <xdr:nvSpPr>
            <xdr:cNvPr id="1186" name="Group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Dakisolatie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0</xdr:rowOff>
        </xdr:from>
        <xdr:to>
          <xdr:col>4</xdr:col>
          <xdr:colOff>2695575</xdr:colOff>
          <xdr:row>45</xdr:row>
          <xdr:rowOff>28575</xdr:rowOff>
        </xdr:to>
        <xdr:sp macro="" textlink="">
          <xdr:nvSpPr>
            <xdr:cNvPr id="1187" name="Group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Gevelisolatie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47</xdr:row>
          <xdr:rowOff>180975</xdr:rowOff>
        </xdr:from>
        <xdr:to>
          <xdr:col>2</xdr:col>
          <xdr:colOff>2428875</xdr:colOff>
          <xdr:row>49</xdr:row>
          <xdr:rowOff>19050</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spouwmuurisolatie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2</xdr:col>
          <xdr:colOff>2695575</xdr:colOff>
          <xdr:row>51</xdr:row>
          <xdr:rowOff>28575</xdr:rowOff>
        </xdr:to>
        <xdr:sp macro="" textlink="">
          <xdr:nvSpPr>
            <xdr:cNvPr id="1190" name="Group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Spouwmuurisolatie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47</xdr:row>
          <xdr:rowOff>180975</xdr:rowOff>
        </xdr:from>
        <xdr:to>
          <xdr:col>4</xdr:col>
          <xdr:colOff>2505075</xdr:colOff>
          <xdr:row>49</xdr:row>
          <xdr:rowOff>9525</xdr:rowOff>
        </xdr:to>
        <xdr:sp macro="" textlink="">
          <xdr:nvSpPr>
            <xdr:cNvPr id="1191" name="Option 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0</xdr:rowOff>
        </xdr:from>
        <xdr:to>
          <xdr:col>4</xdr:col>
          <xdr:colOff>2695575</xdr:colOff>
          <xdr:row>51</xdr:row>
          <xdr:rowOff>28575</xdr:rowOff>
        </xdr:to>
        <xdr:sp macro="" textlink="">
          <xdr:nvSpPr>
            <xdr:cNvPr id="1195" name="Group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Spouwmuurisolatie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53</xdr:row>
          <xdr:rowOff>180975</xdr:rowOff>
        </xdr:from>
        <xdr:to>
          <xdr:col>2</xdr:col>
          <xdr:colOff>2295525</xdr:colOff>
          <xdr:row>55</xdr:row>
          <xdr:rowOff>9525</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vloerisolatie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0</xdr:rowOff>
        </xdr:from>
        <xdr:to>
          <xdr:col>2</xdr:col>
          <xdr:colOff>2695575</xdr:colOff>
          <xdr:row>57</xdr:row>
          <xdr:rowOff>28575</xdr:rowOff>
        </xdr:to>
        <xdr:sp macro="" textlink="">
          <xdr:nvSpPr>
            <xdr:cNvPr id="1200" name="Group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Vloerisolatie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53</xdr:row>
          <xdr:rowOff>171450</xdr:rowOff>
        </xdr:from>
        <xdr:to>
          <xdr:col>4</xdr:col>
          <xdr:colOff>2409825</xdr:colOff>
          <xdr:row>55</xdr:row>
          <xdr:rowOff>9525</xdr:rowOff>
        </xdr:to>
        <xdr:sp macro="" textlink="">
          <xdr:nvSpPr>
            <xdr:cNvPr id="1201" name="Option Button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0</xdr:rowOff>
        </xdr:from>
        <xdr:to>
          <xdr:col>4</xdr:col>
          <xdr:colOff>2695575</xdr:colOff>
          <xdr:row>57</xdr:row>
          <xdr:rowOff>28575</xdr:rowOff>
        </xdr:to>
        <xdr:sp macro="" textlink="">
          <xdr:nvSpPr>
            <xdr:cNvPr id="1205" name="Group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Vloerisolatie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143</xdr:row>
          <xdr:rowOff>171450</xdr:rowOff>
        </xdr:from>
        <xdr:to>
          <xdr:col>2</xdr:col>
          <xdr:colOff>2447925</xdr:colOff>
          <xdr:row>145</xdr:row>
          <xdr:rowOff>0</xdr:rowOff>
        </xdr:to>
        <xdr:sp macro="" textlink="">
          <xdr:nvSpPr>
            <xdr:cNvPr id="1206" name="Option Butto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warmtepomp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143</xdr:row>
          <xdr:rowOff>0</xdr:rowOff>
        </xdr:from>
        <xdr:to>
          <xdr:col>2</xdr:col>
          <xdr:colOff>2695575</xdr:colOff>
          <xdr:row>156</xdr:row>
          <xdr:rowOff>66675</xdr:rowOff>
        </xdr:to>
        <xdr:sp macro="" textlink="">
          <xdr:nvSpPr>
            <xdr:cNvPr id="1216" name="Group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Soort warmtepomp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144</xdr:row>
          <xdr:rowOff>171450</xdr:rowOff>
        </xdr:from>
        <xdr:to>
          <xdr:col>2</xdr:col>
          <xdr:colOff>2371725</xdr:colOff>
          <xdr:row>146</xdr:row>
          <xdr:rowOff>0</xdr:rowOff>
        </xdr:to>
        <xdr:sp macro="" textlink="">
          <xdr:nvSpPr>
            <xdr:cNvPr id="1237" name="Option Butto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Lucht-water &lt; 1 kW (warmtepompboiler)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145</xdr:row>
          <xdr:rowOff>171450</xdr:rowOff>
        </xdr:from>
        <xdr:to>
          <xdr:col>2</xdr:col>
          <xdr:colOff>2457450</xdr:colOff>
          <xdr:row>147</xdr:row>
          <xdr:rowOff>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Lucht-water ≥ 1 kW en ≤ 70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146</xdr:row>
          <xdr:rowOff>171450</xdr:rowOff>
        </xdr:from>
        <xdr:to>
          <xdr:col>2</xdr:col>
          <xdr:colOff>2466975</xdr:colOff>
          <xdr:row>148</xdr:row>
          <xdr:rowOff>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Lucht-water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147</xdr:row>
          <xdr:rowOff>171450</xdr:rowOff>
        </xdr:from>
        <xdr:to>
          <xdr:col>2</xdr:col>
          <xdr:colOff>2390775</xdr:colOff>
          <xdr:row>149</xdr:row>
          <xdr:rowOff>0</xdr:rowOff>
        </xdr:to>
        <xdr:sp macro="" textlink="">
          <xdr:nvSpPr>
            <xdr:cNvPr id="1240" name="Option Button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&lt; 1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148</xdr:row>
          <xdr:rowOff>171450</xdr:rowOff>
        </xdr:from>
        <xdr:to>
          <xdr:col>2</xdr:col>
          <xdr:colOff>2362200</xdr:colOff>
          <xdr:row>150</xdr:row>
          <xdr:rowOff>0</xdr:rowOff>
        </xdr:to>
        <xdr:sp macro="" textlink="">
          <xdr:nvSpPr>
            <xdr:cNvPr id="1241" name="Option Butto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 1 kW en &lt; 10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149</xdr:row>
          <xdr:rowOff>171450</xdr:rowOff>
        </xdr:from>
        <xdr:to>
          <xdr:col>2</xdr:col>
          <xdr:colOff>2438400</xdr:colOff>
          <xdr:row>151</xdr:row>
          <xdr:rowOff>0</xdr:rowOff>
        </xdr:to>
        <xdr:sp macro="" textlink="">
          <xdr:nvSpPr>
            <xdr:cNvPr id="1242" name="Option Button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 10 kW en ≤ 70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150</xdr:row>
          <xdr:rowOff>171450</xdr:rowOff>
        </xdr:from>
        <xdr:to>
          <xdr:col>2</xdr:col>
          <xdr:colOff>2400300</xdr:colOff>
          <xdr:row>152</xdr:row>
          <xdr:rowOff>0</xdr:rowOff>
        </xdr:to>
        <xdr:sp macro="" textlink="">
          <xdr:nvSpPr>
            <xdr:cNvPr id="1243" name="Option Button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151</xdr:row>
          <xdr:rowOff>171450</xdr:rowOff>
        </xdr:from>
        <xdr:to>
          <xdr:col>2</xdr:col>
          <xdr:colOff>2409825</xdr:colOff>
          <xdr:row>153</xdr:row>
          <xdr:rowOff>0</xdr:rowOff>
        </xdr:to>
        <xdr:sp macro="" textlink="">
          <xdr:nvSpPr>
            <xdr:cNvPr id="1244" name="Option Button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&lt; 1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152</xdr:row>
          <xdr:rowOff>171450</xdr:rowOff>
        </xdr:from>
        <xdr:to>
          <xdr:col>2</xdr:col>
          <xdr:colOff>2362200</xdr:colOff>
          <xdr:row>154</xdr:row>
          <xdr:rowOff>0</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 1 kW en &lt; 10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153</xdr:row>
          <xdr:rowOff>171450</xdr:rowOff>
        </xdr:from>
        <xdr:to>
          <xdr:col>2</xdr:col>
          <xdr:colOff>2419350</xdr:colOff>
          <xdr:row>155</xdr:row>
          <xdr:rowOff>0</xdr:rowOff>
        </xdr:to>
        <xdr:sp macro="" textlink="">
          <xdr:nvSpPr>
            <xdr:cNvPr id="1254" name="Option Button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 10 kW en ≤ 70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154</xdr:row>
          <xdr:rowOff>171450</xdr:rowOff>
        </xdr:from>
        <xdr:to>
          <xdr:col>2</xdr:col>
          <xdr:colOff>2466975</xdr:colOff>
          <xdr:row>156</xdr:row>
          <xdr:rowOff>0</xdr:rowOff>
        </xdr:to>
        <xdr:sp macro="" textlink="">
          <xdr:nvSpPr>
            <xdr:cNvPr id="1259" name="Option Button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158</xdr:row>
          <xdr:rowOff>180975</xdr:rowOff>
        </xdr:from>
        <xdr:to>
          <xdr:col>2</xdr:col>
          <xdr:colOff>2486025</xdr:colOff>
          <xdr:row>160</xdr:row>
          <xdr:rowOff>9525</xdr:rowOff>
        </xdr:to>
        <xdr:sp macro="" textlink="">
          <xdr:nvSpPr>
            <xdr:cNvPr id="1263" name="Option Button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159</xdr:row>
          <xdr:rowOff>180975</xdr:rowOff>
        </xdr:from>
        <xdr:to>
          <xdr:col>2</xdr:col>
          <xdr:colOff>2457450</xdr:colOff>
          <xdr:row>161</xdr:row>
          <xdr:rowOff>9525</xdr:rowOff>
        </xdr:to>
        <xdr:sp macro="" textlink="">
          <xdr:nvSpPr>
            <xdr:cNvPr id="1273" name="Option Button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 of hoger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160</xdr:row>
          <xdr:rowOff>180975</xdr:rowOff>
        </xdr:from>
        <xdr:to>
          <xdr:col>2</xdr:col>
          <xdr:colOff>2295525</xdr:colOff>
          <xdr:row>162</xdr:row>
          <xdr:rowOff>9525</xdr:rowOff>
        </xdr:to>
        <xdr:sp macro="" textlink="">
          <xdr:nvSpPr>
            <xdr:cNvPr id="1274" name="Option Butto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161</xdr:row>
          <xdr:rowOff>180975</xdr:rowOff>
        </xdr:from>
        <xdr:to>
          <xdr:col>2</xdr:col>
          <xdr:colOff>2390775</xdr:colOff>
          <xdr:row>163</xdr:row>
          <xdr:rowOff>9525</xdr:rowOff>
        </xdr:to>
        <xdr:sp macro="" textlink="">
          <xdr:nvSpPr>
            <xdr:cNvPr id="1275" name="Option Butto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162</xdr:row>
          <xdr:rowOff>180975</xdr:rowOff>
        </xdr:from>
        <xdr:to>
          <xdr:col>2</xdr:col>
          <xdr:colOff>2286000</xdr:colOff>
          <xdr:row>164</xdr:row>
          <xdr:rowOff>9525</xdr:rowOff>
        </xdr:to>
        <xdr:sp macro="" textlink="">
          <xdr:nvSpPr>
            <xdr:cNvPr id="1276" name="Option Button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 t/m 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158</xdr:row>
          <xdr:rowOff>57150</xdr:rowOff>
        </xdr:from>
        <xdr:to>
          <xdr:col>2</xdr:col>
          <xdr:colOff>2705100</xdr:colOff>
          <xdr:row>164</xdr:row>
          <xdr:rowOff>66675</xdr:rowOff>
        </xdr:to>
        <xdr:sp macro="" textlink="">
          <xdr:nvSpPr>
            <xdr:cNvPr id="1277" name="Group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Energie-efficiency klasse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9525</xdr:rowOff>
        </xdr:from>
        <xdr:to>
          <xdr:col>2</xdr:col>
          <xdr:colOff>2600325</xdr:colOff>
          <xdr:row>21</xdr:row>
          <xdr:rowOff>190500</xdr:rowOff>
        </xdr:to>
        <xdr:sp macro="" textlink="">
          <xdr:nvSpPr>
            <xdr:cNvPr id="1278" name="Option Button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 voor ISDE-maatregel(en) &gt; 24 maanden geleden uitgevoerd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9525</xdr:rowOff>
        </xdr:from>
        <xdr:to>
          <xdr:col>2</xdr:col>
          <xdr:colOff>2628900</xdr:colOff>
          <xdr:row>22</xdr:row>
          <xdr:rowOff>190500</xdr:rowOff>
        </xdr:to>
        <xdr:sp macro="" textlink="">
          <xdr:nvSpPr>
            <xdr:cNvPr id="1279" name="Option Button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 voor ISDE-maatregel(en) ≤ 24 maanden geleden uitgevoerd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0</xdr:rowOff>
        </xdr:from>
        <xdr:to>
          <xdr:col>2</xdr:col>
          <xdr:colOff>2362200</xdr:colOff>
          <xdr:row>31</xdr:row>
          <xdr:rowOff>180975</xdr:rowOff>
        </xdr:to>
        <xdr:sp macro="" textlink="">
          <xdr:nvSpPr>
            <xdr:cNvPr id="1280" name="Option Button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Dakisolatie, Rd ≥ 3,5 m2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30</xdr:row>
          <xdr:rowOff>171450</xdr:rowOff>
        </xdr:from>
        <xdr:to>
          <xdr:col>4</xdr:col>
          <xdr:colOff>2476500</xdr:colOff>
          <xdr:row>32</xdr:row>
          <xdr:rowOff>0</xdr:rowOff>
        </xdr:to>
        <xdr:sp macro="" textlink="">
          <xdr:nvSpPr>
            <xdr:cNvPr id="1282" name="Option Button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31</xdr:row>
          <xdr:rowOff>171450</xdr:rowOff>
        </xdr:from>
        <xdr:to>
          <xdr:col>4</xdr:col>
          <xdr:colOff>2371725</xdr:colOff>
          <xdr:row>33</xdr:row>
          <xdr:rowOff>0</xdr:rowOff>
        </xdr:to>
        <xdr:sp macro="" textlink="">
          <xdr:nvSpPr>
            <xdr:cNvPr id="1283" name="Option Button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43</xdr:row>
          <xdr:rowOff>9525</xdr:rowOff>
        </xdr:from>
        <xdr:to>
          <xdr:col>2</xdr:col>
          <xdr:colOff>2552700</xdr:colOff>
          <xdr:row>44</xdr:row>
          <xdr:rowOff>0</xdr:rowOff>
        </xdr:to>
        <xdr:sp macro="" textlink="">
          <xdr:nvSpPr>
            <xdr:cNvPr id="1287" name="Option Button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Binnen-of buitengevelisolatie, Rd ≥ 3,5m2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171450</xdr:rowOff>
        </xdr:from>
        <xdr:to>
          <xdr:col>4</xdr:col>
          <xdr:colOff>2533650</xdr:colOff>
          <xdr:row>44</xdr:row>
          <xdr:rowOff>9525</xdr:rowOff>
        </xdr:to>
        <xdr:sp macro="" textlink="">
          <xdr:nvSpPr>
            <xdr:cNvPr id="1288" name="Option Button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171450</xdr:rowOff>
        </xdr:from>
        <xdr:to>
          <xdr:col>4</xdr:col>
          <xdr:colOff>2571750</xdr:colOff>
          <xdr:row>45</xdr:row>
          <xdr:rowOff>9525</xdr:rowOff>
        </xdr:to>
        <xdr:sp macro="" textlink="">
          <xdr:nvSpPr>
            <xdr:cNvPr id="1289" name="Option Button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48</xdr:row>
          <xdr:rowOff>180975</xdr:rowOff>
        </xdr:from>
        <xdr:to>
          <xdr:col>2</xdr:col>
          <xdr:colOff>2486025</xdr:colOff>
          <xdr:row>50</xdr:row>
          <xdr:rowOff>19050</xdr:rowOff>
        </xdr:to>
        <xdr:sp macro="" textlink="">
          <xdr:nvSpPr>
            <xdr:cNvPr id="1292" name="Option Button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Spouwmuurisolatie, Rd ≥ 1,1 m2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48</xdr:row>
          <xdr:rowOff>180975</xdr:rowOff>
        </xdr:from>
        <xdr:to>
          <xdr:col>4</xdr:col>
          <xdr:colOff>2600325</xdr:colOff>
          <xdr:row>50</xdr:row>
          <xdr:rowOff>9525</xdr:rowOff>
        </xdr:to>
        <xdr:sp macro="" textlink="">
          <xdr:nvSpPr>
            <xdr:cNvPr id="1293" name="Option Button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49</xdr:row>
          <xdr:rowOff>180975</xdr:rowOff>
        </xdr:from>
        <xdr:to>
          <xdr:col>4</xdr:col>
          <xdr:colOff>2638425</xdr:colOff>
          <xdr:row>51</xdr:row>
          <xdr:rowOff>9525</xdr:rowOff>
        </xdr:to>
        <xdr:sp macro="" textlink="">
          <xdr:nvSpPr>
            <xdr:cNvPr id="1294" name="Option Button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54</xdr:row>
          <xdr:rowOff>180975</xdr:rowOff>
        </xdr:from>
        <xdr:to>
          <xdr:col>2</xdr:col>
          <xdr:colOff>2505075</xdr:colOff>
          <xdr:row>56</xdr:row>
          <xdr:rowOff>28575</xdr:rowOff>
        </xdr:to>
        <xdr:sp macro="" textlink="">
          <xdr:nvSpPr>
            <xdr:cNvPr id="1300" name="Option Button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Vloerisolatie, Rd- of Rbf-waarde ≥ 3,5m2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54</xdr:row>
          <xdr:rowOff>171450</xdr:rowOff>
        </xdr:from>
        <xdr:to>
          <xdr:col>4</xdr:col>
          <xdr:colOff>2581275</xdr:colOff>
          <xdr:row>56</xdr:row>
          <xdr:rowOff>9525</xdr:rowOff>
        </xdr:to>
        <xdr:sp macro="" textlink="">
          <xdr:nvSpPr>
            <xdr:cNvPr id="1302" name="Option Button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55</xdr:row>
          <xdr:rowOff>171450</xdr:rowOff>
        </xdr:from>
        <xdr:to>
          <xdr:col>4</xdr:col>
          <xdr:colOff>2524125</xdr:colOff>
          <xdr:row>57</xdr:row>
          <xdr:rowOff>9525</xdr:rowOff>
        </xdr:to>
        <xdr:sp macro="" textlink="">
          <xdr:nvSpPr>
            <xdr:cNvPr id="1303" name="Option Button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171450</xdr:rowOff>
        </xdr:from>
        <xdr:to>
          <xdr:col>2</xdr:col>
          <xdr:colOff>1962150</xdr:colOff>
          <xdr:row>73</xdr:row>
          <xdr:rowOff>28575</xdr:rowOff>
        </xdr:to>
        <xdr:sp macro="" textlink="">
          <xdr:nvSpPr>
            <xdr:cNvPr id="1312" name="Check Box 288" descr="Biobased"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Gevelisolatie is biobased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171450</xdr:rowOff>
        </xdr:from>
        <xdr:to>
          <xdr:col>2</xdr:col>
          <xdr:colOff>1962150</xdr:colOff>
          <xdr:row>75</xdr:row>
          <xdr:rowOff>28575</xdr:rowOff>
        </xdr:to>
        <xdr:sp macro="" textlink="">
          <xdr:nvSpPr>
            <xdr:cNvPr id="1314" name="Check Box 290" descr="Biobased"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Spouwmuurisolatie is biobased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171450</xdr:rowOff>
        </xdr:from>
        <xdr:to>
          <xdr:col>2</xdr:col>
          <xdr:colOff>1962150</xdr:colOff>
          <xdr:row>77</xdr:row>
          <xdr:rowOff>28575</xdr:rowOff>
        </xdr:to>
        <xdr:sp macro="" textlink="">
          <xdr:nvSpPr>
            <xdr:cNvPr id="1316" name="Check Box 292" descr="Biobased"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Vloerisolatie is biobased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143</xdr:row>
          <xdr:rowOff>180975</xdr:rowOff>
        </xdr:from>
        <xdr:to>
          <xdr:col>4</xdr:col>
          <xdr:colOff>2552700</xdr:colOff>
          <xdr:row>145</xdr:row>
          <xdr:rowOff>19050</xdr:rowOff>
        </xdr:to>
        <xdr:sp macro="" textlink="">
          <xdr:nvSpPr>
            <xdr:cNvPr id="1317" name="Option Button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144</xdr:row>
          <xdr:rowOff>180975</xdr:rowOff>
        </xdr:from>
        <xdr:to>
          <xdr:col>4</xdr:col>
          <xdr:colOff>2524125</xdr:colOff>
          <xdr:row>146</xdr:row>
          <xdr:rowOff>19050</xdr:rowOff>
        </xdr:to>
        <xdr:sp macro="" textlink="">
          <xdr:nvSpPr>
            <xdr:cNvPr id="1318" name="Option 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143</xdr:row>
          <xdr:rowOff>0</xdr:rowOff>
        </xdr:from>
        <xdr:to>
          <xdr:col>4</xdr:col>
          <xdr:colOff>2695575</xdr:colOff>
          <xdr:row>148</xdr:row>
          <xdr:rowOff>114300</xdr:rowOff>
        </xdr:to>
        <xdr:sp macro="" textlink="">
          <xdr:nvSpPr>
            <xdr:cNvPr id="1319" name="Group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Datum installatie warmtepomp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145</xdr:row>
          <xdr:rowOff>180975</xdr:rowOff>
        </xdr:from>
        <xdr:to>
          <xdr:col>4</xdr:col>
          <xdr:colOff>2552700</xdr:colOff>
          <xdr:row>147</xdr:row>
          <xdr:rowOff>19050</xdr:rowOff>
        </xdr:to>
        <xdr:sp macro="" textlink="">
          <xdr:nvSpPr>
            <xdr:cNvPr id="1320" name="Option Button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204</xdr:row>
          <xdr:rowOff>180975</xdr:rowOff>
        </xdr:from>
        <xdr:to>
          <xdr:col>2</xdr:col>
          <xdr:colOff>2228850</xdr:colOff>
          <xdr:row>206</xdr:row>
          <xdr:rowOff>9525</xdr:rowOff>
        </xdr:to>
        <xdr:sp macro="" textlink="">
          <xdr:nvSpPr>
            <xdr:cNvPr id="1321" name="Option Button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zonneboiler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205</xdr:row>
          <xdr:rowOff>180975</xdr:rowOff>
        </xdr:from>
        <xdr:to>
          <xdr:col>2</xdr:col>
          <xdr:colOff>2314575</xdr:colOff>
          <xdr:row>207</xdr:row>
          <xdr:rowOff>9525</xdr:rowOff>
        </xdr:to>
        <xdr:sp macro="" textlink="">
          <xdr:nvSpPr>
            <xdr:cNvPr id="1322" name="Option Button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Zonneboiler ≤ 5 m2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206</xdr:row>
          <xdr:rowOff>180975</xdr:rowOff>
        </xdr:from>
        <xdr:to>
          <xdr:col>2</xdr:col>
          <xdr:colOff>2181225</xdr:colOff>
          <xdr:row>208</xdr:row>
          <xdr:rowOff>9525</xdr:rowOff>
        </xdr:to>
        <xdr:sp macro="" textlink="">
          <xdr:nvSpPr>
            <xdr:cNvPr id="1323" name="Option Button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Zonneboiler &gt; 5 en ≤ 10 m2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207</xdr:row>
          <xdr:rowOff>180975</xdr:rowOff>
        </xdr:from>
        <xdr:to>
          <xdr:col>2</xdr:col>
          <xdr:colOff>2324100</xdr:colOff>
          <xdr:row>209</xdr:row>
          <xdr:rowOff>9525</xdr:rowOff>
        </xdr:to>
        <xdr:sp macro="" textlink="">
          <xdr:nvSpPr>
            <xdr:cNvPr id="1324" name="Option Button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Zonneboilercombi ≤ 5 m2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208</xdr:row>
          <xdr:rowOff>180975</xdr:rowOff>
        </xdr:from>
        <xdr:to>
          <xdr:col>2</xdr:col>
          <xdr:colOff>2333625</xdr:colOff>
          <xdr:row>210</xdr:row>
          <xdr:rowOff>9525</xdr:rowOff>
        </xdr:to>
        <xdr:sp macro="" textlink="">
          <xdr:nvSpPr>
            <xdr:cNvPr id="1325" name="Option Button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Zonneboilercombi &gt; 5 en ≤ 10 m2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204</xdr:row>
          <xdr:rowOff>0</xdr:rowOff>
        </xdr:from>
        <xdr:to>
          <xdr:col>2</xdr:col>
          <xdr:colOff>2705100</xdr:colOff>
          <xdr:row>210</xdr:row>
          <xdr:rowOff>76200</xdr:rowOff>
        </xdr:to>
        <xdr:sp macro="" textlink="">
          <xdr:nvSpPr>
            <xdr:cNvPr id="1327" name="Group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Soort zonneboiler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217</xdr:row>
          <xdr:rowOff>180975</xdr:rowOff>
        </xdr:from>
        <xdr:to>
          <xdr:col>2</xdr:col>
          <xdr:colOff>2409825</xdr:colOff>
          <xdr:row>219</xdr:row>
          <xdr:rowOff>9525</xdr:rowOff>
        </xdr:to>
        <xdr:sp macro="" textlink="">
          <xdr:nvSpPr>
            <xdr:cNvPr id="1328" name="Option Button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aansluiting op een warmtenet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218</xdr:row>
          <xdr:rowOff>180975</xdr:rowOff>
        </xdr:from>
        <xdr:to>
          <xdr:col>2</xdr:col>
          <xdr:colOff>2333625</xdr:colOff>
          <xdr:row>220</xdr:row>
          <xdr:rowOff>9525</xdr:rowOff>
        </xdr:to>
        <xdr:sp macro="" textlink="">
          <xdr:nvSpPr>
            <xdr:cNvPr id="1329" name="Option Button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Aansluiting op een warmtenet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217</xdr:row>
          <xdr:rowOff>9525</xdr:rowOff>
        </xdr:from>
        <xdr:to>
          <xdr:col>2</xdr:col>
          <xdr:colOff>2705100</xdr:colOff>
          <xdr:row>220</xdr:row>
          <xdr:rowOff>76200</xdr:rowOff>
        </xdr:to>
        <xdr:sp macro="" textlink="">
          <xdr:nvSpPr>
            <xdr:cNvPr id="1330" name="Group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Aansluiting warmtenet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217</xdr:row>
          <xdr:rowOff>180975</xdr:rowOff>
        </xdr:from>
        <xdr:to>
          <xdr:col>4</xdr:col>
          <xdr:colOff>2476500</xdr:colOff>
          <xdr:row>219</xdr:row>
          <xdr:rowOff>9525</xdr:rowOff>
        </xdr:to>
        <xdr:sp macro="" textlink="">
          <xdr:nvSpPr>
            <xdr:cNvPr id="1331" name="Option Button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218</xdr:row>
          <xdr:rowOff>180975</xdr:rowOff>
        </xdr:from>
        <xdr:to>
          <xdr:col>4</xdr:col>
          <xdr:colOff>2514600</xdr:colOff>
          <xdr:row>220</xdr:row>
          <xdr:rowOff>38100</xdr:rowOff>
        </xdr:to>
        <xdr:sp macro="" textlink="">
          <xdr:nvSpPr>
            <xdr:cNvPr id="1332" name="Option Button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Op of ná 1 januari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217</xdr:row>
          <xdr:rowOff>0</xdr:rowOff>
        </xdr:from>
        <xdr:to>
          <xdr:col>4</xdr:col>
          <xdr:colOff>2695575</xdr:colOff>
          <xdr:row>220</xdr:row>
          <xdr:rowOff>85725</xdr:rowOff>
        </xdr:to>
        <xdr:sp macro="" textlink="">
          <xdr:nvSpPr>
            <xdr:cNvPr id="1334" name="Group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Datum aansluiting warmtenet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205</xdr:row>
          <xdr:rowOff>0</xdr:rowOff>
        </xdr:from>
        <xdr:to>
          <xdr:col>4</xdr:col>
          <xdr:colOff>2524125</xdr:colOff>
          <xdr:row>206</xdr:row>
          <xdr:rowOff>19050</xdr:rowOff>
        </xdr:to>
        <xdr:sp macro="" textlink="">
          <xdr:nvSpPr>
            <xdr:cNvPr id="1335" name="Option Button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206</xdr:row>
          <xdr:rowOff>0</xdr:rowOff>
        </xdr:from>
        <xdr:to>
          <xdr:col>4</xdr:col>
          <xdr:colOff>2600325</xdr:colOff>
          <xdr:row>207</xdr:row>
          <xdr:rowOff>19050</xdr:rowOff>
        </xdr:to>
        <xdr:sp macro="" textlink="">
          <xdr:nvSpPr>
            <xdr:cNvPr id="1336" name="Option Button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Op of ná 1 januari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204</xdr:row>
          <xdr:rowOff>0</xdr:rowOff>
        </xdr:from>
        <xdr:to>
          <xdr:col>4</xdr:col>
          <xdr:colOff>2695575</xdr:colOff>
          <xdr:row>207</xdr:row>
          <xdr:rowOff>104775</xdr:rowOff>
        </xdr:to>
        <xdr:sp macro="" textlink="">
          <xdr:nvSpPr>
            <xdr:cNvPr id="1339" name="Group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Datum installatie zonneboiler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224</xdr:row>
          <xdr:rowOff>76200</xdr:rowOff>
        </xdr:from>
        <xdr:to>
          <xdr:col>2</xdr:col>
          <xdr:colOff>2247900</xdr:colOff>
          <xdr:row>225</xdr:row>
          <xdr:rowOff>123825</xdr:rowOff>
        </xdr:to>
        <xdr:sp macro="" textlink="">
          <xdr:nvSpPr>
            <xdr:cNvPr id="1340" name="Option Button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223</xdr:row>
          <xdr:rowOff>342900</xdr:rowOff>
        </xdr:from>
        <xdr:to>
          <xdr:col>2</xdr:col>
          <xdr:colOff>2695575</xdr:colOff>
          <xdr:row>226</xdr:row>
          <xdr:rowOff>228600</xdr:rowOff>
        </xdr:to>
        <xdr:sp macro="" textlink="">
          <xdr:nvSpPr>
            <xdr:cNvPr id="1343" name="Group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Aanschaf elektrische kookvoorziening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228</xdr:row>
          <xdr:rowOff>180975</xdr:rowOff>
        </xdr:from>
        <xdr:to>
          <xdr:col>2</xdr:col>
          <xdr:colOff>2038350</xdr:colOff>
          <xdr:row>229</xdr:row>
          <xdr:rowOff>9525</xdr:rowOff>
        </xdr:to>
        <xdr:sp macro="" textlink="">
          <xdr:nvSpPr>
            <xdr:cNvPr id="1344" name="Option Button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229</xdr:row>
          <xdr:rowOff>0</xdr:rowOff>
        </xdr:from>
        <xdr:to>
          <xdr:col>2</xdr:col>
          <xdr:colOff>2171700</xdr:colOff>
          <xdr:row>230</xdr:row>
          <xdr:rowOff>19050</xdr:rowOff>
        </xdr:to>
        <xdr:sp macro="" textlink="">
          <xdr:nvSpPr>
            <xdr:cNvPr id="1345" name="Option Button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228</xdr:row>
          <xdr:rowOff>0</xdr:rowOff>
        </xdr:from>
        <xdr:to>
          <xdr:col>2</xdr:col>
          <xdr:colOff>2705100</xdr:colOff>
          <xdr:row>230</xdr:row>
          <xdr:rowOff>85725</xdr:rowOff>
        </xdr:to>
        <xdr:sp macro="" textlink="">
          <xdr:nvSpPr>
            <xdr:cNvPr id="1346" name="Group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Woning aangesloten op warmtenet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232</xdr:row>
          <xdr:rowOff>171450</xdr:rowOff>
        </xdr:from>
        <xdr:to>
          <xdr:col>2</xdr:col>
          <xdr:colOff>2133600</xdr:colOff>
          <xdr:row>233</xdr:row>
          <xdr:rowOff>9525</xdr:rowOff>
        </xdr:to>
        <xdr:sp macro="" textlink="">
          <xdr:nvSpPr>
            <xdr:cNvPr id="1347" name="Option Button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233</xdr:row>
          <xdr:rowOff>0</xdr:rowOff>
        </xdr:from>
        <xdr:to>
          <xdr:col>2</xdr:col>
          <xdr:colOff>2171700</xdr:colOff>
          <xdr:row>234</xdr:row>
          <xdr:rowOff>47625</xdr:rowOff>
        </xdr:to>
        <xdr:sp macro="" textlink="">
          <xdr:nvSpPr>
            <xdr:cNvPr id="1348" name="Option Button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232</xdr:row>
          <xdr:rowOff>9525</xdr:rowOff>
        </xdr:from>
        <xdr:to>
          <xdr:col>2</xdr:col>
          <xdr:colOff>2705100</xdr:colOff>
          <xdr:row>234</xdr:row>
          <xdr:rowOff>85725</xdr:rowOff>
        </xdr:to>
        <xdr:sp macro="" textlink="">
          <xdr:nvSpPr>
            <xdr:cNvPr id="1349" name="Group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Eerdere subsidie aansluiting warmtenet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236</xdr:row>
          <xdr:rowOff>180975</xdr:rowOff>
        </xdr:from>
        <xdr:to>
          <xdr:col>2</xdr:col>
          <xdr:colOff>1943100</xdr:colOff>
          <xdr:row>237</xdr:row>
          <xdr:rowOff>9525</xdr:rowOff>
        </xdr:to>
        <xdr:sp macro="" textlink="">
          <xdr:nvSpPr>
            <xdr:cNvPr id="1350" name="Option Button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237</xdr:row>
          <xdr:rowOff>0</xdr:rowOff>
        </xdr:from>
        <xdr:to>
          <xdr:col>2</xdr:col>
          <xdr:colOff>2143125</xdr:colOff>
          <xdr:row>238</xdr:row>
          <xdr:rowOff>19050</xdr:rowOff>
        </xdr:to>
        <xdr:sp macro="" textlink="">
          <xdr:nvSpPr>
            <xdr:cNvPr id="1351" name="Option Button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236</xdr:row>
          <xdr:rowOff>0</xdr:rowOff>
        </xdr:from>
        <xdr:to>
          <xdr:col>2</xdr:col>
          <xdr:colOff>2695575</xdr:colOff>
          <xdr:row>238</xdr:row>
          <xdr:rowOff>57150</xdr:rowOff>
        </xdr:to>
        <xdr:sp macro="" textlink="">
          <xdr:nvSpPr>
            <xdr:cNvPr id="1353" name="Group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Afgesloten van het aardgasnet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83</xdr:row>
          <xdr:rowOff>390525</xdr:rowOff>
        </xdr:from>
        <xdr:to>
          <xdr:col>2</xdr:col>
          <xdr:colOff>2457450</xdr:colOff>
          <xdr:row>83</xdr:row>
          <xdr:rowOff>609600</xdr:rowOff>
        </xdr:to>
        <xdr:sp macro="" textlink="">
          <xdr:nvSpPr>
            <xdr:cNvPr id="1356" name="Option Button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glasisolatie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83</xdr:row>
          <xdr:rowOff>590550</xdr:rowOff>
        </xdr:from>
        <xdr:to>
          <xdr:col>2</xdr:col>
          <xdr:colOff>2162175</xdr:colOff>
          <xdr:row>83</xdr:row>
          <xdr:rowOff>809625</xdr:rowOff>
        </xdr:to>
        <xdr:sp macro="" textlink="">
          <xdr:nvSpPr>
            <xdr:cNvPr id="1357" name="Option Button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HR++ glas en/of Triple glas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228600</xdr:rowOff>
        </xdr:from>
        <xdr:to>
          <xdr:col>2</xdr:col>
          <xdr:colOff>2695575</xdr:colOff>
          <xdr:row>84</xdr:row>
          <xdr:rowOff>9525</xdr:rowOff>
        </xdr:to>
        <xdr:sp macro="" textlink="">
          <xdr:nvSpPr>
            <xdr:cNvPr id="1359" name="Group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Glasisolatie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86</xdr:row>
          <xdr:rowOff>180975</xdr:rowOff>
        </xdr:from>
        <xdr:to>
          <xdr:col>2</xdr:col>
          <xdr:colOff>2171700</xdr:colOff>
          <xdr:row>88</xdr:row>
          <xdr:rowOff>19050</xdr:rowOff>
        </xdr:to>
        <xdr:sp macro="" textlink="">
          <xdr:nvSpPr>
            <xdr:cNvPr id="1360" name="Option Button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180975</xdr:rowOff>
        </xdr:from>
        <xdr:to>
          <xdr:col>2</xdr:col>
          <xdr:colOff>2247900</xdr:colOff>
          <xdr:row>89</xdr:row>
          <xdr:rowOff>19050</xdr:rowOff>
        </xdr:to>
        <xdr:sp macro="" textlink="">
          <xdr:nvSpPr>
            <xdr:cNvPr id="1361" name="Option Button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2695575</xdr:colOff>
          <xdr:row>89</xdr:row>
          <xdr:rowOff>57150</xdr:rowOff>
        </xdr:to>
        <xdr:sp macro="" textlink="">
          <xdr:nvSpPr>
            <xdr:cNvPr id="1363" name="Group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HR++ glas, U ≤ 1,2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91</xdr:row>
          <xdr:rowOff>180975</xdr:rowOff>
        </xdr:from>
        <xdr:to>
          <xdr:col>2</xdr:col>
          <xdr:colOff>2286000</xdr:colOff>
          <xdr:row>93</xdr:row>
          <xdr:rowOff>19050</xdr:rowOff>
        </xdr:to>
        <xdr:sp macro="" textlink="">
          <xdr:nvSpPr>
            <xdr:cNvPr id="1364" name="Option Button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92</xdr:row>
          <xdr:rowOff>180975</xdr:rowOff>
        </xdr:from>
        <xdr:to>
          <xdr:col>2</xdr:col>
          <xdr:colOff>2266950</xdr:colOff>
          <xdr:row>94</xdr:row>
          <xdr:rowOff>19050</xdr:rowOff>
        </xdr:to>
        <xdr:sp macro="" textlink="">
          <xdr:nvSpPr>
            <xdr:cNvPr id="1365" name="Option Button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91</xdr:row>
          <xdr:rowOff>0</xdr:rowOff>
        </xdr:from>
        <xdr:to>
          <xdr:col>2</xdr:col>
          <xdr:colOff>2695575</xdr:colOff>
          <xdr:row>94</xdr:row>
          <xdr:rowOff>66675</xdr:rowOff>
        </xdr:to>
        <xdr:sp macro="" textlink="">
          <xdr:nvSpPr>
            <xdr:cNvPr id="1366" name="Group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Triple glas, U ≤ 0,7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96</xdr:row>
          <xdr:rowOff>180975</xdr:rowOff>
        </xdr:from>
        <xdr:to>
          <xdr:col>2</xdr:col>
          <xdr:colOff>2228850</xdr:colOff>
          <xdr:row>98</xdr:row>
          <xdr:rowOff>19050</xdr:rowOff>
        </xdr:to>
        <xdr:sp macro="" textlink="">
          <xdr:nvSpPr>
            <xdr:cNvPr id="1367" name="Option Button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97</xdr:row>
          <xdr:rowOff>180975</xdr:rowOff>
        </xdr:from>
        <xdr:to>
          <xdr:col>2</xdr:col>
          <xdr:colOff>2124075</xdr:colOff>
          <xdr:row>99</xdr:row>
          <xdr:rowOff>19050</xdr:rowOff>
        </xdr:to>
        <xdr:sp macro="" textlink="">
          <xdr:nvSpPr>
            <xdr:cNvPr id="1368" name="Option Button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0</xdr:rowOff>
        </xdr:from>
        <xdr:to>
          <xdr:col>2</xdr:col>
          <xdr:colOff>2695575</xdr:colOff>
          <xdr:row>99</xdr:row>
          <xdr:rowOff>85725</xdr:rowOff>
        </xdr:to>
        <xdr:sp macro="" textlink="">
          <xdr:nvSpPr>
            <xdr:cNvPr id="1369" name="Group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panelen, U ≤ 1,2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101</xdr:row>
          <xdr:rowOff>171450</xdr:rowOff>
        </xdr:from>
        <xdr:to>
          <xdr:col>2</xdr:col>
          <xdr:colOff>2305050</xdr:colOff>
          <xdr:row>103</xdr:row>
          <xdr:rowOff>9525</xdr:rowOff>
        </xdr:to>
        <xdr:sp macro="" textlink="">
          <xdr:nvSpPr>
            <xdr:cNvPr id="1370" name="Option Button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102</xdr:row>
          <xdr:rowOff>171450</xdr:rowOff>
        </xdr:from>
        <xdr:to>
          <xdr:col>2</xdr:col>
          <xdr:colOff>2238375</xdr:colOff>
          <xdr:row>104</xdr:row>
          <xdr:rowOff>9525</xdr:rowOff>
        </xdr:to>
        <xdr:sp macro="" textlink="">
          <xdr:nvSpPr>
            <xdr:cNvPr id="1371" name="Option Button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101</xdr:row>
          <xdr:rowOff>0</xdr:rowOff>
        </xdr:from>
        <xdr:to>
          <xdr:col>2</xdr:col>
          <xdr:colOff>2695575</xdr:colOff>
          <xdr:row>104</xdr:row>
          <xdr:rowOff>76200</xdr:rowOff>
        </xdr:to>
        <xdr:sp macro="" textlink="">
          <xdr:nvSpPr>
            <xdr:cNvPr id="1372" name="Group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panelen, U ≤ 0,7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106</xdr:row>
          <xdr:rowOff>180975</xdr:rowOff>
        </xdr:from>
        <xdr:to>
          <xdr:col>2</xdr:col>
          <xdr:colOff>2200275</xdr:colOff>
          <xdr:row>108</xdr:row>
          <xdr:rowOff>19050</xdr:rowOff>
        </xdr:to>
        <xdr:sp macro="" textlink="">
          <xdr:nvSpPr>
            <xdr:cNvPr id="1373" name="Option Button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107</xdr:row>
          <xdr:rowOff>180975</xdr:rowOff>
        </xdr:from>
        <xdr:to>
          <xdr:col>2</xdr:col>
          <xdr:colOff>2352675</xdr:colOff>
          <xdr:row>109</xdr:row>
          <xdr:rowOff>19050</xdr:rowOff>
        </xdr:to>
        <xdr:sp macro="" textlink="">
          <xdr:nvSpPr>
            <xdr:cNvPr id="1374" name="Option Button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106</xdr:row>
          <xdr:rowOff>0</xdr:rowOff>
        </xdr:from>
        <xdr:to>
          <xdr:col>2</xdr:col>
          <xdr:colOff>2695575</xdr:colOff>
          <xdr:row>109</xdr:row>
          <xdr:rowOff>95250</xdr:rowOff>
        </xdr:to>
        <xdr:sp macro="" textlink="">
          <xdr:nvSpPr>
            <xdr:cNvPr id="1375" name="Group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deuren, Ud ≤ 1,5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111</xdr:row>
          <xdr:rowOff>171450</xdr:rowOff>
        </xdr:from>
        <xdr:to>
          <xdr:col>2</xdr:col>
          <xdr:colOff>2047875</xdr:colOff>
          <xdr:row>113</xdr:row>
          <xdr:rowOff>9525</xdr:rowOff>
        </xdr:to>
        <xdr:sp macro="" textlink="">
          <xdr:nvSpPr>
            <xdr:cNvPr id="1376" name="Option Button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112</xdr:row>
          <xdr:rowOff>171450</xdr:rowOff>
        </xdr:from>
        <xdr:to>
          <xdr:col>2</xdr:col>
          <xdr:colOff>2038350</xdr:colOff>
          <xdr:row>114</xdr:row>
          <xdr:rowOff>9525</xdr:rowOff>
        </xdr:to>
        <xdr:sp macro="" textlink="">
          <xdr:nvSpPr>
            <xdr:cNvPr id="1377" name="Option Button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111</xdr:row>
          <xdr:rowOff>0</xdr:rowOff>
        </xdr:from>
        <xdr:to>
          <xdr:col>2</xdr:col>
          <xdr:colOff>2695575</xdr:colOff>
          <xdr:row>114</xdr:row>
          <xdr:rowOff>66675</xdr:rowOff>
        </xdr:to>
        <xdr:sp macro="" textlink="">
          <xdr:nvSpPr>
            <xdr:cNvPr id="1378" name="Group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deuren, Ud ≤ 1,0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86</xdr:row>
          <xdr:rowOff>0</xdr:rowOff>
        </xdr:from>
        <xdr:to>
          <xdr:col>4</xdr:col>
          <xdr:colOff>2705100</xdr:colOff>
          <xdr:row>89</xdr:row>
          <xdr:rowOff>57150</xdr:rowOff>
        </xdr:to>
        <xdr:sp macro="" textlink="">
          <xdr:nvSpPr>
            <xdr:cNvPr id="1385" name="Group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HR++ glas, U ≤ 1,2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2695575</xdr:colOff>
          <xdr:row>94</xdr:row>
          <xdr:rowOff>57150</xdr:rowOff>
        </xdr:to>
        <xdr:sp macro="" textlink="">
          <xdr:nvSpPr>
            <xdr:cNvPr id="1391" name="Group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Triple glas, U ≤ 0,7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2695575</xdr:colOff>
          <xdr:row>99</xdr:row>
          <xdr:rowOff>57150</xdr:rowOff>
        </xdr:to>
        <xdr:sp macro="" textlink="">
          <xdr:nvSpPr>
            <xdr:cNvPr id="1396" name="Group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panelen, U ≤ 1,2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101</xdr:row>
          <xdr:rowOff>0</xdr:rowOff>
        </xdr:from>
        <xdr:to>
          <xdr:col>4</xdr:col>
          <xdr:colOff>2695575</xdr:colOff>
          <xdr:row>104</xdr:row>
          <xdr:rowOff>57150</xdr:rowOff>
        </xdr:to>
        <xdr:sp macro="" textlink="">
          <xdr:nvSpPr>
            <xdr:cNvPr id="1401" name="Group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panelen, U ≤ 0,7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106</xdr:row>
          <xdr:rowOff>0</xdr:rowOff>
        </xdr:from>
        <xdr:to>
          <xdr:col>4</xdr:col>
          <xdr:colOff>2705100</xdr:colOff>
          <xdr:row>109</xdr:row>
          <xdr:rowOff>57150</xdr:rowOff>
        </xdr:to>
        <xdr:sp macro="" textlink="">
          <xdr:nvSpPr>
            <xdr:cNvPr id="1408" name="Group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deuren, Ud ≤ 1,5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2695575</xdr:colOff>
          <xdr:row>114</xdr:row>
          <xdr:rowOff>57150</xdr:rowOff>
        </xdr:to>
        <xdr:sp macro="" textlink="">
          <xdr:nvSpPr>
            <xdr:cNvPr id="1413" name="Group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Isolerende deuren, Ud ≤ 1,0 W/m2K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171450</xdr:rowOff>
        </xdr:from>
        <xdr:to>
          <xdr:col>4</xdr:col>
          <xdr:colOff>323850</xdr:colOff>
          <xdr:row>69</xdr:row>
          <xdr:rowOff>28575</xdr:rowOff>
        </xdr:to>
        <xdr:sp macro="" textlink="">
          <xdr:nvSpPr>
            <xdr:cNvPr id="1414" name="Check Box 390" descr="Biobased"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Dakisolatie is biobased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146</xdr:row>
          <xdr:rowOff>180975</xdr:rowOff>
        </xdr:from>
        <xdr:to>
          <xdr:col>4</xdr:col>
          <xdr:colOff>2552700</xdr:colOff>
          <xdr:row>148</xdr:row>
          <xdr:rowOff>19050</xdr:rowOff>
        </xdr:to>
        <xdr:sp macro="" textlink="">
          <xdr:nvSpPr>
            <xdr:cNvPr id="1420" name="Option Button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0</xdr:rowOff>
        </xdr:from>
        <xdr:to>
          <xdr:col>2</xdr:col>
          <xdr:colOff>2266950</xdr:colOff>
          <xdr:row>36</xdr:row>
          <xdr:rowOff>180975</xdr:rowOff>
        </xdr:to>
        <xdr:sp macro="" textlink="">
          <xdr:nvSpPr>
            <xdr:cNvPr id="1421" name="Option Button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dakisolatie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2</xdr:col>
          <xdr:colOff>2695575</xdr:colOff>
          <xdr:row>39</xdr:row>
          <xdr:rowOff>28575</xdr:rowOff>
        </xdr:to>
        <xdr:sp macro="" textlink="">
          <xdr:nvSpPr>
            <xdr:cNvPr id="1422" name="Group Box 398" descr="Dakisolatie"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Zolder- of vlieringisolatie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35</xdr:row>
          <xdr:rowOff>171450</xdr:rowOff>
        </xdr:from>
        <xdr:to>
          <xdr:col>4</xdr:col>
          <xdr:colOff>2495550</xdr:colOff>
          <xdr:row>37</xdr:row>
          <xdr:rowOff>0</xdr:rowOff>
        </xdr:to>
        <xdr:sp macro="" textlink="">
          <xdr:nvSpPr>
            <xdr:cNvPr id="1423" name="Option Button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0</xdr:rowOff>
        </xdr:from>
        <xdr:to>
          <xdr:col>4</xdr:col>
          <xdr:colOff>2705100</xdr:colOff>
          <xdr:row>39</xdr:row>
          <xdr:rowOff>28575</xdr:rowOff>
        </xdr:to>
        <xdr:sp macro="" textlink="">
          <xdr:nvSpPr>
            <xdr:cNvPr id="1424" name="Group Box 400" descr="Zolder-of vlieringisolatie"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Zolder- of vlieringisolatie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xdr:row>
          <xdr:rowOff>0</xdr:rowOff>
        </xdr:from>
        <xdr:to>
          <xdr:col>2</xdr:col>
          <xdr:colOff>2457450</xdr:colOff>
          <xdr:row>37</xdr:row>
          <xdr:rowOff>180975</xdr:rowOff>
        </xdr:to>
        <xdr:sp macro="" textlink="">
          <xdr:nvSpPr>
            <xdr:cNvPr id="1426" name="Option Button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CC9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Zolder-of vlieringisolatie, Rd ≥ 3,5 m2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36</xdr:row>
          <xdr:rowOff>171450</xdr:rowOff>
        </xdr:from>
        <xdr:to>
          <xdr:col>4</xdr:col>
          <xdr:colOff>2476500</xdr:colOff>
          <xdr:row>38</xdr:row>
          <xdr:rowOff>0</xdr:rowOff>
        </xdr:to>
        <xdr:sp macro="" textlink="">
          <xdr:nvSpPr>
            <xdr:cNvPr id="1427" name="Option Button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37</xdr:row>
          <xdr:rowOff>171450</xdr:rowOff>
        </xdr:from>
        <xdr:to>
          <xdr:col>4</xdr:col>
          <xdr:colOff>2371725</xdr:colOff>
          <xdr:row>39</xdr:row>
          <xdr:rowOff>0</xdr:rowOff>
        </xdr:to>
        <xdr:sp macro="" textlink="">
          <xdr:nvSpPr>
            <xdr:cNvPr id="1428" name="Option Button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59</xdr:row>
          <xdr:rowOff>180975</xdr:rowOff>
        </xdr:from>
        <xdr:to>
          <xdr:col>2</xdr:col>
          <xdr:colOff>2295525</xdr:colOff>
          <xdr:row>61</xdr:row>
          <xdr:rowOff>9525</xdr:rowOff>
        </xdr:to>
        <xdr:sp macro="" textlink="">
          <xdr:nvSpPr>
            <xdr:cNvPr id="1434" name="Option Button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bodemisolatie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xdr:row>
          <xdr:rowOff>0</xdr:rowOff>
        </xdr:from>
        <xdr:to>
          <xdr:col>2</xdr:col>
          <xdr:colOff>2695575</xdr:colOff>
          <xdr:row>63</xdr:row>
          <xdr:rowOff>28575</xdr:rowOff>
        </xdr:to>
        <xdr:sp macro="" textlink="">
          <xdr:nvSpPr>
            <xdr:cNvPr id="1435" name="Group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Bodemisolatie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59</xdr:row>
          <xdr:rowOff>171450</xdr:rowOff>
        </xdr:from>
        <xdr:to>
          <xdr:col>4</xdr:col>
          <xdr:colOff>2409825</xdr:colOff>
          <xdr:row>61</xdr:row>
          <xdr:rowOff>9525</xdr:rowOff>
        </xdr:to>
        <xdr:sp macro="" textlink="">
          <xdr:nvSpPr>
            <xdr:cNvPr id="1436" name="Option Button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0</xdr:rowOff>
        </xdr:from>
        <xdr:to>
          <xdr:col>4</xdr:col>
          <xdr:colOff>2695575</xdr:colOff>
          <xdr:row>63</xdr:row>
          <xdr:rowOff>28575</xdr:rowOff>
        </xdr:to>
        <xdr:sp macro="" textlink="">
          <xdr:nvSpPr>
            <xdr:cNvPr id="1437" name="Group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Bodemisolatie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60</xdr:row>
          <xdr:rowOff>180975</xdr:rowOff>
        </xdr:from>
        <xdr:to>
          <xdr:col>2</xdr:col>
          <xdr:colOff>2609850</xdr:colOff>
          <xdr:row>62</xdr:row>
          <xdr:rowOff>0</xdr:rowOff>
        </xdr:to>
        <xdr:sp macro="" textlink="">
          <xdr:nvSpPr>
            <xdr:cNvPr id="1438" name="Option Button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Bodemisolatie, Rd- of Rbf-waarde ≥ 3,5m2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60</xdr:row>
          <xdr:rowOff>171450</xdr:rowOff>
        </xdr:from>
        <xdr:to>
          <xdr:col>4</xdr:col>
          <xdr:colOff>2581275</xdr:colOff>
          <xdr:row>62</xdr:row>
          <xdr:rowOff>9525</xdr:rowOff>
        </xdr:to>
        <xdr:sp macro="" textlink="">
          <xdr:nvSpPr>
            <xdr:cNvPr id="1440" name="Option Button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61</xdr:row>
          <xdr:rowOff>171450</xdr:rowOff>
        </xdr:from>
        <xdr:to>
          <xdr:col>4</xdr:col>
          <xdr:colOff>2524125</xdr:colOff>
          <xdr:row>63</xdr:row>
          <xdr:rowOff>9525</xdr:rowOff>
        </xdr:to>
        <xdr:sp macro="" textlink="">
          <xdr:nvSpPr>
            <xdr:cNvPr id="1441" name="Option Button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69</xdr:row>
          <xdr:rowOff>171450</xdr:rowOff>
        </xdr:from>
        <xdr:to>
          <xdr:col>4</xdr:col>
          <xdr:colOff>323850</xdr:colOff>
          <xdr:row>71</xdr:row>
          <xdr:rowOff>28575</xdr:rowOff>
        </xdr:to>
        <xdr:sp macro="" textlink="">
          <xdr:nvSpPr>
            <xdr:cNvPr id="1443" name="Check Box 419" descr="Biobased"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Zolder-of vlieringisolatie is biobased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0</xdr:rowOff>
        </xdr:from>
        <xdr:to>
          <xdr:col>2</xdr:col>
          <xdr:colOff>1962150</xdr:colOff>
          <xdr:row>79</xdr:row>
          <xdr:rowOff>47625</xdr:rowOff>
        </xdr:to>
        <xdr:sp macro="" textlink="">
          <xdr:nvSpPr>
            <xdr:cNvPr id="1444" name="Check Box 420" descr="Biobased"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Bodemisolatie is biobased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86</xdr:row>
          <xdr:rowOff>152400</xdr:rowOff>
        </xdr:from>
        <xdr:to>
          <xdr:col>4</xdr:col>
          <xdr:colOff>2028825</xdr:colOff>
          <xdr:row>88</xdr:row>
          <xdr:rowOff>9525</xdr:rowOff>
        </xdr:to>
        <xdr:sp macro="" textlink="">
          <xdr:nvSpPr>
            <xdr:cNvPr id="1452" name="Check Box 428" descr="Biobased"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87</xdr:row>
          <xdr:rowOff>152400</xdr:rowOff>
        </xdr:from>
        <xdr:to>
          <xdr:col>4</xdr:col>
          <xdr:colOff>2028825</xdr:colOff>
          <xdr:row>89</xdr:row>
          <xdr:rowOff>9525</xdr:rowOff>
        </xdr:to>
        <xdr:sp macro="" textlink="">
          <xdr:nvSpPr>
            <xdr:cNvPr id="1453" name="Check Box 429" descr="Biobased"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91</xdr:row>
          <xdr:rowOff>152400</xdr:rowOff>
        </xdr:from>
        <xdr:to>
          <xdr:col>4</xdr:col>
          <xdr:colOff>2028825</xdr:colOff>
          <xdr:row>93</xdr:row>
          <xdr:rowOff>9525</xdr:rowOff>
        </xdr:to>
        <xdr:sp macro="" textlink="">
          <xdr:nvSpPr>
            <xdr:cNvPr id="1456" name="Check Box 432" descr="Biobased"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92</xdr:row>
          <xdr:rowOff>152400</xdr:rowOff>
        </xdr:from>
        <xdr:to>
          <xdr:col>4</xdr:col>
          <xdr:colOff>2028825</xdr:colOff>
          <xdr:row>94</xdr:row>
          <xdr:rowOff>9525</xdr:rowOff>
        </xdr:to>
        <xdr:sp macro="" textlink="">
          <xdr:nvSpPr>
            <xdr:cNvPr id="1457" name="Check Box 433" descr="Biobased"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96</xdr:row>
          <xdr:rowOff>152400</xdr:rowOff>
        </xdr:from>
        <xdr:to>
          <xdr:col>4</xdr:col>
          <xdr:colOff>2028825</xdr:colOff>
          <xdr:row>98</xdr:row>
          <xdr:rowOff>9525</xdr:rowOff>
        </xdr:to>
        <xdr:sp macro="" textlink="">
          <xdr:nvSpPr>
            <xdr:cNvPr id="1458" name="Check Box 434" descr="Biobased"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97</xdr:row>
          <xdr:rowOff>152400</xdr:rowOff>
        </xdr:from>
        <xdr:to>
          <xdr:col>4</xdr:col>
          <xdr:colOff>2028825</xdr:colOff>
          <xdr:row>99</xdr:row>
          <xdr:rowOff>9525</xdr:rowOff>
        </xdr:to>
        <xdr:sp macro="" textlink="">
          <xdr:nvSpPr>
            <xdr:cNvPr id="1459" name="Check Box 435" descr="Biobased"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101</xdr:row>
          <xdr:rowOff>152400</xdr:rowOff>
        </xdr:from>
        <xdr:to>
          <xdr:col>4</xdr:col>
          <xdr:colOff>2028825</xdr:colOff>
          <xdr:row>103</xdr:row>
          <xdr:rowOff>9525</xdr:rowOff>
        </xdr:to>
        <xdr:sp macro="" textlink="">
          <xdr:nvSpPr>
            <xdr:cNvPr id="1460" name="Check Box 436" descr="Biobased"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102</xdr:row>
          <xdr:rowOff>152400</xdr:rowOff>
        </xdr:from>
        <xdr:to>
          <xdr:col>4</xdr:col>
          <xdr:colOff>2028825</xdr:colOff>
          <xdr:row>104</xdr:row>
          <xdr:rowOff>9525</xdr:rowOff>
        </xdr:to>
        <xdr:sp macro="" textlink="">
          <xdr:nvSpPr>
            <xdr:cNvPr id="1461" name="Check Box 437" descr="Biobased"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106</xdr:row>
          <xdr:rowOff>152400</xdr:rowOff>
        </xdr:from>
        <xdr:to>
          <xdr:col>4</xdr:col>
          <xdr:colOff>2028825</xdr:colOff>
          <xdr:row>108</xdr:row>
          <xdr:rowOff>9525</xdr:rowOff>
        </xdr:to>
        <xdr:sp macro="" textlink="">
          <xdr:nvSpPr>
            <xdr:cNvPr id="1462" name="Check Box 438" descr="Biobased"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107</xdr:row>
          <xdr:rowOff>152400</xdr:rowOff>
        </xdr:from>
        <xdr:to>
          <xdr:col>4</xdr:col>
          <xdr:colOff>2028825</xdr:colOff>
          <xdr:row>109</xdr:row>
          <xdr:rowOff>9525</xdr:rowOff>
        </xdr:to>
        <xdr:sp macro="" textlink="">
          <xdr:nvSpPr>
            <xdr:cNvPr id="1463" name="Check Box 439" descr="Biobased"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111</xdr:row>
          <xdr:rowOff>152400</xdr:rowOff>
        </xdr:from>
        <xdr:to>
          <xdr:col>4</xdr:col>
          <xdr:colOff>2028825</xdr:colOff>
          <xdr:row>113</xdr:row>
          <xdr:rowOff>9525</xdr:rowOff>
        </xdr:to>
        <xdr:sp macro="" textlink="">
          <xdr:nvSpPr>
            <xdr:cNvPr id="1464" name="Check Box 440" descr="Biobased"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112</xdr:row>
          <xdr:rowOff>152400</xdr:rowOff>
        </xdr:from>
        <xdr:to>
          <xdr:col>4</xdr:col>
          <xdr:colOff>2028825</xdr:colOff>
          <xdr:row>114</xdr:row>
          <xdr:rowOff>9525</xdr:rowOff>
        </xdr:to>
        <xdr:sp macro="" textlink="">
          <xdr:nvSpPr>
            <xdr:cNvPr id="1465" name="Check Box 441" descr="Biobased"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 2025-2026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125</xdr:row>
          <xdr:rowOff>171450</xdr:rowOff>
        </xdr:from>
        <xdr:to>
          <xdr:col>2</xdr:col>
          <xdr:colOff>2047875</xdr:colOff>
          <xdr:row>127</xdr:row>
          <xdr:rowOff>9525</xdr:rowOff>
        </xdr:to>
        <xdr:sp macro="" textlink="">
          <xdr:nvSpPr>
            <xdr:cNvPr id="1466" name="Option Button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126</xdr:row>
          <xdr:rowOff>171450</xdr:rowOff>
        </xdr:from>
        <xdr:to>
          <xdr:col>2</xdr:col>
          <xdr:colOff>2038350</xdr:colOff>
          <xdr:row>128</xdr:row>
          <xdr:rowOff>9525</xdr:rowOff>
        </xdr:to>
        <xdr:sp macro="" textlink="">
          <xdr:nvSpPr>
            <xdr:cNvPr id="1467" name="Option Button 443" hidden="1">
              <a:extLst>
                <a:ext uri="{63B3BB69-23CF-44E3-9099-C40C66FF867C}">
                  <a14:compatExt spid="_x0000_s1467"/>
                </a:ext>
                <a:ext uri="{FF2B5EF4-FFF2-40B4-BE49-F238E27FC236}">
                  <a16:creationId xmlns:a16="http://schemas.microsoft.com/office/drawing/2014/main" id="{00000000-0008-0000-00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125</xdr:row>
          <xdr:rowOff>0</xdr:rowOff>
        </xdr:from>
        <xdr:to>
          <xdr:col>2</xdr:col>
          <xdr:colOff>2695575</xdr:colOff>
          <xdr:row>128</xdr:row>
          <xdr:rowOff>66675</xdr:rowOff>
        </xdr:to>
        <xdr:sp macro="" textlink="">
          <xdr:nvSpPr>
            <xdr:cNvPr id="1468" name="Group Box 444"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Energiezuinig ventilatiesysteem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2695575</xdr:colOff>
          <xdr:row>128</xdr:row>
          <xdr:rowOff>57150</xdr:rowOff>
        </xdr:to>
        <xdr:sp macro="" textlink="">
          <xdr:nvSpPr>
            <xdr:cNvPr id="1469" name="Group Box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Datum installatie energiezuinig ventilatiesysteem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125</xdr:row>
          <xdr:rowOff>152400</xdr:rowOff>
        </xdr:from>
        <xdr:to>
          <xdr:col>4</xdr:col>
          <xdr:colOff>2562225</xdr:colOff>
          <xdr:row>126</xdr:row>
          <xdr:rowOff>180975</xdr:rowOff>
        </xdr:to>
        <xdr:sp macro="" textlink="">
          <xdr:nvSpPr>
            <xdr:cNvPr id="1472" name="Option Button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126</xdr:row>
          <xdr:rowOff>152400</xdr:rowOff>
        </xdr:from>
        <xdr:to>
          <xdr:col>4</xdr:col>
          <xdr:colOff>2562225</xdr:colOff>
          <xdr:row>127</xdr:row>
          <xdr:rowOff>180975</xdr:rowOff>
        </xdr:to>
        <xdr:sp macro="" textlink="">
          <xdr:nvSpPr>
            <xdr:cNvPr id="1474" name="Option Button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125</xdr:row>
          <xdr:rowOff>0</xdr:rowOff>
        </xdr:from>
        <xdr:to>
          <xdr:col>9</xdr:col>
          <xdr:colOff>19050</xdr:colOff>
          <xdr:row>129</xdr:row>
          <xdr:rowOff>57150</xdr:rowOff>
        </xdr:to>
        <xdr:sp macro="" textlink="">
          <xdr:nvSpPr>
            <xdr:cNvPr id="1476" name="Group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Datum uitvoering laatste ISDE-isolatiemaatregel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125</xdr:row>
          <xdr:rowOff>161925</xdr:rowOff>
        </xdr:from>
        <xdr:to>
          <xdr:col>8</xdr:col>
          <xdr:colOff>942975</xdr:colOff>
          <xdr:row>126</xdr:row>
          <xdr:rowOff>152400</xdr:rowOff>
        </xdr:to>
        <xdr:sp macro="" textlink="">
          <xdr:nvSpPr>
            <xdr:cNvPr id="1477" name="Option Button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 of &gt;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126</xdr:row>
          <xdr:rowOff>161925</xdr:rowOff>
        </xdr:from>
        <xdr:to>
          <xdr:col>8</xdr:col>
          <xdr:colOff>942975</xdr:colOff>
          <xdr:row>128</xdr:row>
          <xdr:rowOff>133350</xdr:rowOff>
        </xdr:to>
        <xdr:sp macro="" textlink="">
          <xdr:nvSpPr>
            <xdr:cNvPr id="1478" name="Option Button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Plaatsing ventilatiesysteem binnen 24 maanden na uitvoering ISDE-isolatiemaatregel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173</xdr:row>
          <xdr:rowOff>171450</xdr:rowOff>
        </xdr:from>
        <xdr:to>
          <xdr:col>2</xdr:col>
          <xdr:colOff>2447925</xdr:colOff>
          <xdr:row>175</xdr:row>
          <xdr:rowOff>0</xdr:rowOff>
        </xdr:to>
        <xdr:sp macro="" textlink="">
          <xdr:nvSpPr>
            <xdr:cNvPr id="1482" name="Option Button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Geen warmtepomp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173</xdr:row>
          <xdr:rowOff>0</xdr:rowOff>
        </xdr:from>
        <xdr:to>
          <xdr:col>2</xdr:col>
          <xdr:colOff>2695575</xdr:colOff>
          <xdr:row>186</xdr:row>
          <xdr:rowOff>66675</xdr:rowOff>
        </xdr:to>
        <xdr:sp macro="" textlink="">
          <xdr:nvSpPr>
            <xdr:cNvPr id="1483" name="Group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Soort warmtepomp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174</xdr:row>
          <xdr:rowOff>171450</xdr:rowOff>
        </xdr:from>
        <xdr:to>
          <xdr:col>2</xdr:col>
          <xdr:colOff>2371725</xdr:colOff>
          <xdr:row>176</xdr:row>
          <xdr:rowOff>0</xdr:rowOff>
        </xdr:to>
        <xdr:sp macro="" textlink="">
          <xdr:nvSpPr>
            <xdr:cNvPr id="1484" name="Option Button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Lucht-water &lt; 1 kW (warmtepompboiler)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175</xdr:row>
          <xdr:rowOff>171450</xdr:rowOff>
        </xdr:from>
        <xdr:to>
          <xdr:col>2</xdr:col>
          <xdr:colOff>2457450</xdr:colOff>
          <xdr:row>177</xdr:row>
          <xdr:rowOff>0</xdr:rowOff>
        </xdr:to>
        <xdr:sp macro="" textlink="">
          <xdr:nvSpPr>
            <xdr:cNvPr id="1485" name="Option Button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Lucht-water ≥ 1 kW en ≤ 70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176</xdr:row>
          <xdr:rowOff>171450</xdr:rowOff>
        </xdr:from>
        <xdr:to>
          <xdr:col>2</xdr:col>
          <xdr:colOff>2466975</xdr:colOff>
          <xdr:row>178</xdr:row>
          <xdr:rowOff>0</xdr:rowOff>
        </xdr:to>
        <xdr:sp macro="" textlink="">
          <xdr:nvSpPr>
            <xdr:cNvPr id="1486" name="Option Button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Lucht-water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177</xdr:row>
          <xdr:rowOff>171450</xdr:rowOff>
        </xdr:from>
        <xdr:to>
          <xdr:col>2</xdr:col>
          <xdr:colOff>2390775</xdr:colOff>
          <xdr:row>179</xdr:row>
          <xdr:rowOff>0</xdr:rowOff>
        </xdr:to>
        <xdr:sp macro="" textlink="">
          <xdr:nvSpPr>
            <xdr:cNvPr id="1487" name="Option Button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&lt; 1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178</xdr:row>
          <xdr:rowOff>171450</xdr:rowOff>
        </xdr:from>
        <xdr:to>
          <xdr:col>2</xdr:col>
          <xdr:colOff>2362200</xdr:colOff>
          <xdr:row>180</xdr:row>
          <xdr:rowOff>0</xdr:rowOff>
        </xdr:to>
        <xdr:sp macro="" textlink="">
          <xdr:nvSpPr>
            <xdr:cNvPr id="1488" name="Option Button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 1 kW en &lt; 10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179</xdr:row>
          <xdr:rowOff>171450</xdr:rowOff>
        </xdr:from>
        <xdr:to>
          <xdr:col>2</xdr:col>
          <xdr:colOff>2438400</xdr:colOff>
          <xdr:row>181</xdr:row>
          <xdr:rowOff>0</xdr:rowOff>
        </xdr:to>
        <xdr:sp macro="" textlink="">
          <xdr:nvSpPr>
            <xdr:cNvPr id="1489" name="Option Button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 10 kW en ≤ 70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180</xdr:row>
          <xdr:rowOff>171450</xdr:rowOff>
        </xdr:from>
        <xdr:to>
          <xdr:col>2</xdr:col>
          <xdr:colOff>2400300</xdr:colOff>
          <xdr:row>182</xdr:row>
          <xdr:rowOff>0</xdr:rowOff>
        </xdr:to>
        <xdr:sp macro="" textlink="">
          <xdr:nvSpPr>
            <xdr:cNvPr id="1490" name="Option Button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Grond-water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181</xdr:row>
          <xdr:rowOff>171450</xdr:rowOff>
        </xdr:from>
        <xdr:to>
          <xdr:col>2</xdr:col>
          <xdr:colOff>2409825</xdr:colOff>
          <xdr:row>183</xdr:row>
          <xdr:rowOff>0</xdr:rowOff>
        </xdr:to>
        <xdr:sp macro="" textlink="">
          <xdr:nvSpPr>
            <xdr:cNvPr id="1491" name="Option Button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&lt; 1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182</xdr:row>
          <xdr:rowOff>171450</xdr:rowOff>
        </xdr:from>
        <xdr:to>
          <xdr:col>2</xdr:col>
          <xdr:colOff>2362200</xdr:colOff>
          <xdr:row>184</xdr:row>
          <xdr:rowOff>0</xdr:rowOff>
        </xdr:to>
        <xdr:sp macro="" textlink="">
          <xdr:nvSpPr>
            <xdr:cNvPr id="1492" name="Option Button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 1 kW en &lt; 10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183</xdr:row>
          <xdr:rowOff>171450</xdr:rowOff>
        </xdr:from>
        <xdr:to>
          <xdr:col>2</xdr:col>
          <xdr:colOff>2419350</xdr:colOff>
          <xdr:row>185</xdr:row>
          <xdr:rowOff>0</xdr:rowOff>
        </xdr:to>
        <xdr:sp macro="" textlink="">
          <xdr:nvSpPr>
            <xdr:cNvPr id="1493" name="Option Button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 10 kW en ≤ 70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184</xdr:row>
          <xdr:rowOff>171450</xdr:rowOff>
        </xdr:from>
        <xdr:to>
          <xdr:col>2</xdr:col>
          <xdr:colOff>2466975</xdr:colOff>
          <xdr:row>186</xdr:row>
          <xdr:rowOff>0</xdr:rowOff>
        </xdr:to>
        <xdr:sp macro="" textlink="">
          <xdr:nvSpPr>
            <xdr:cNvPr id="1494" name="Option Button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Water-water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188</xdr:row>
          <xdr:rowOff>180975</xdr:rowOff>
        </xdr:from>
        <xdr:to>
          <xdr:col>2</xdr:col>
          <xdr:colOff>2486025</xdr:colOff>
          <xdr:row>190</xdr:row>
          <xdr:rowOff>9525</xdr:rowOff>
        </xdr:to>
        <xdr:sp macro="" textlink="">
          <xdr:nvSpPr>
            <xdr:cNvPr id="1495" name="Option Button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189</xdr:row>
          <xdr:rowOff>180975</xdr:rowOff>
        </xdr:from>
        <xdr:to>
          <xdr:col>2</xdr:col>
          <xdr:colOff>2457450</xdr:colOff>
          <xdr:row>191</xdr:row>
          <xdr:rowOff>9525</xdr:rowOff>
        </xdr:to>
        <xdr:sp macro="" textlink="">
          <xdr:nvSpPr>
            <xdr:cNvPr id="1496" name="Option Button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 of hoger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190</xdr:row>
          <xdr:rowOff>180975</xdr:rowOff>
        </xdr:from>
        <xdr:to>
          <xdr:col>2</xdr:col>
          <xdr:colOff>2295525</xdr:colOff>
          <xdr:row>192</xdr:row>
          <xdr:rowOff>9525</xdr:rowOff>
        </xdr:to>
        <xdr:sp macro="" textlink="">
          <xdr:nvSpPr>
            <xdr:cNvPr id="1497" name="Option Button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191</xdr:row>
          <xdr:rowOff>180975</xdr:rowOff>
        </xdr:from>
        <xdr:to>
          <xdr:col>2</xdr:col>
          <xdr:colOff>2390775</xdr:colOff>
          <xdr:row>193</xdr:row>
          <xdr:rowOff>9525</xdr:rowOff>
        </xdr:to>
        <xdr:sp macro="" textlink="">
          <xdr:nvSpPr>
            <xdr:cNvPr id="1498" name="Option Button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192</xdr:row>
          <xdr:rowOff>180975</xdr:rowOff>
        </xdr:from>
        <xdr:to>
          <xdr:col>2</xdr:col>
          <xdr:colOff>2286000</xdr:colOff>
          <xdr:row>194</xdr:row>
          <xdr:rowOff>9525</xdr:rowOff>
        </xdr:to>
        <xdr:sp macro="" textlink="">
          <xdr:nvSpPr>
            <xdr:cNvPr id="1499" name="Option Button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Energieklasse A t/m 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188</xdr:row>
          <xdr:rowOff>57150</xdr:rowOff>
        </xdr:from>
        <xdr:to>
          <xdr:col>2</xdr:col>
          <xdr:colOff>2705100</xdr:colOff>
          <xdr:row>194</xdr:row>
          <xdr:rowOff>66675</xdr:rowOff>
        </xdr:to>
        <xdr:sp macro="" textlink="">
          <xdr:nvSpPr>
            <xdr:cNvPr id="1500" name="Group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Energie-efficiency klasse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173</xdr:row>
          <xdr:rowOff>180975</xdr:rowOff>
        </xdr:from>
        <xdr:to>
          <xdr:col>4</xdr:col>
          <xdr:colOff>2552700</xdr:colOff>
          <xdr:row>175</xdr:row>
          <xdr:rowOff>19050</xdr:rowOff>
        </xdr:to>
        <xdr:sp macro="" textlink="">
          <xdr:nvSpPr>
            <xdr:cNvPr id="1501" name="Option Button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Niet van toepassing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174</xdr:row>
          <xdr:rowOff>180975</xdr:rowOff>
        </xdr:from>
        <xdr:to>
          <xdr:col>4</xdr:col>
          <xdr:colOff>2524125</xdr:colOff>
          <xdr:row>176</xdr:row>
          <xdr:rowOff>19050</xdr:rowOff>
        </xdr:to>
        <xdr:sp macro="" textlink="">
          <xdr:nvSpPr>
            <xdr:cNvPr id="1502" name="Option Button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2024 én ≤ 24 maanden geleden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0</xdr:rowOff>
        </xdr:from>
        <xdr:to>
          <xdr:col>4</xdr:col>
          <xdr:colOff>2695575</xdr:colOff>
          <xdr:row>178</xdr:row>
          <xdr:rowOff>114300</xdr:rowOff>
        </xdr:to>
        <xdr:sp macro="" textlink="">
          <xdr:nvSpPr>
            <xdr:cNvPr id="1503" name="Group Box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Datum installatie warmtepomp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175</xdr:row>
          <xdr:rowOff>180975</xdr:rowOff>
        </xdr:from>
        <xdr:to>
          <xdr:col>4</xdr:col>
          <xdr:colOff>2552700</xdr:colOff>
          <xdr:row>177</xdr:row>
          <xdr:rowOff>19050</xdr:rowOff>
        </xdr:to>
        <xdr:sp macro="" textlink="">
          <xdr:nvSpPr>
            <xdr:cNvPr id="1504" name="Option Button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176</xdr:row>
          <xdr:rowOff>180975</xdr:rowOff>
        </xdr:from>
        <xdr:to>
          <xdr:col>4</xdr:col>
          <xdr:colOff>2552700</xdr:colOff>
          <xdr:row>178</xdr:row>
          <xdr:rowOff>19050</xdr:rowOff>
        </xdr:to>
        <xdr:sp macro="" textlink="">
          <xdr:nvSpPr>
            <xdr:cNvPr id="1505" name="Option Button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2026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225</xdr:row>
          <xdr:rowOff>76200</xdr:rowOff>
        </xdr:from>
        <xdr:to>
          <xdr:col>2</xdr:col>
          <xdr:colOff>2247900</xdr:colOff>
          <xdr:row>226</xdr:row>
          <xdr:rowOff>123825</xdr:rowOff>
        </xdr:to>
        <xdr:sp macro="" textlink="">
          <xdr:nvSpPr>
            <xdr:cNvPr id="1506" name="Option Button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133</xdr:row>
          <xdr:rowOff>180975</xdr:rowOff>
        </xdr:from>
        <xdr:to>
          <xdr:col>2</xdr:col>
          <xdr:colOff>2228850</xdr:colOff>
          <xdr:row>135</xdr:row>
          <xdr:rowOff>9525</xdr:rowOff>
        </xdr:to>
        <xdr:sp macro="" textlink="">
          <xdr:nvSpPr>
            <xdr:cNvPr id="1508" name="Option Button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134</xdr:row>
          <xdr:rowOff>180975</xdr:rowOff>
        </xdr:from>
        <xdr:to>
          <xdr:col>2</xdr:col>
          <xdr:colOff>2657475</xdr:colOff>
          <xdr:row>136</xdr:row>
          <xdr:rowOff>19050</xdr:rowOff>
        </xdr:to>
        <xdr:sp macro="" textlink="">
          <xdr:nvSpPr>
            <xdr:cNvPr id="1509" name="Option Button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 lucht-water ≥ 1 kW en ≤ 70 kW met labelbonus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135</xdr:row>
          <xdr:rowOff>180975</xdr:rowOff>
        </xdr:from>
        <xdr:to>
          <xdr:col>2</xdr:col>
          <xdr:colOff>2676525</xdr:colOff>
          <xdr:row>137</xdr:row>
          <xdr:rowOff>38100</xdr:rowOff>
        </xdr:to>
        <xdr:sp macro="" textlink="">
          <xdr:nvSpPr>
            <xdr:cNvPr id="1510" name="Option Button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 lucht-water ≥ 1 kW en ≤ 70 kW zonder labelbonus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136</xdr:row>
          <xdr:rowOff>180975</xdr:rowOff>
        </xdr:from>
        <xdr:to>
          <xdr:col>2</xdr:col>
          <xdr:colOff>2324100</xdr:colOff>
          <xdr:row>138</xdr:row>
          <xdr:rowOff>9525</xdr:rowOff>
        </xdr:to>
        <xdr:sp macro="" textlink="">
          <xdr:nvSpPr>
            <xdr:cNvPr id="1511" name="Option Button 487" hidden="1">
              <a:extLst>
                <a:ext uri="{63B3BB69-23CF-44E3-9099-C40C66FF867C}">
                  <a14:compatExt spid="_x0000_s1511"/>
                </a:ext>
                <a:ext uri="{FF2B5EF4-FFF2-40B4-BE49-F238E27FC236}">
                  <a16:creationId xmlns:a16="http://schemas.microsoft.com/office/drawing/2014/main" id="{00000000-0008-0000-00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 lucht-water ≥ 71 kW en ≤ 400 kW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137</xdr:row>
          <xdr:rowOff>180975</xdr:rowOff>
        </xdr:from>
        <xdr:to>
          <xdr:col>2</xdr:col>
          <xdr:colOff>2657475</xdr:colOff>
          <xdr:row>139</xdr:row>
          <xdr:rowOff>38100</xdr:rowOff>
        </xdr:to>
        <xdr:sp macro="" textlink="">
          <xdr:nvSpPr>
            <xdr:cNvPr id="1512" name="Option Button 488" hidden="1">
              <a:extLst>
                <a:ext uri="{63B3BB69-23CF-44E3-9099-C40C66FF867C}">
                  <a14:compatExt spid="_x0000_s1512"/>
                </a:ext>
                <a:ext uri="{FF2B5EF4-FFF2-40B4-BE49-F238E27FC236}">
                  <a16:creationId xmlns:a16="http://schemas.microsoft.com/office/drawing/2014/main" id="{00000000-0008-0000-00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 anders dan bovengenoemde warmtepompen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133</xdr:row>
          <xdr:rowOff>0</xdr:rowOff>
        </xdr:from>
        <xdr:to>
          <xdr:col>2</xdr:col>
          <xdr:colOff>2705100</xdr:colOff>
          <xdr:row>139</xdr:row>
          <xdr:rowOff>76200</xdr:rowOff>
        </xdr:to>
        <xdr:sp macro="" textlink="">
          <xdr:nvSpPr>
            <xdr:cNvPr id="1513" name="Group Box 489" hidden="1">
              <a:extLst>
                <a:ext uri="{63B3BB69-23CF-44E3-9099-C40C66FF867C}">
                  <a14:compatExt spid="_x0000_s1513"/>
                </a:ext>
                <a:ext uri="{FF2B5EF4-FFF2-40B4-BE49-F238E27FC236}">
                  <a16:creationId xmlns:a16="http://schemas.microsoft.com/office/drawing/2014/main" id="{00000000-0008-0000-0000-0000E9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nl-NL" sz="800" b="0" i="0" u="none" strike="noStrike" baseline="0">
                  <a:solidFill>
                    <a:srgbClr val="000000"/>
                  </a:solidFill>
                  <a:latin typeface="Segoe UI"/>
                  <a:cs typeface="Segoe UI"/>
                </a:rPr>
                <a:t>Vraag eerdere subsidie warmtepomp</a:t>
              </a:r>
            </a:p>
          </xdr:txBody>
        </xdr:sp>
        <xdr:clientData/>
      </xdr:twoCellAnchor>
    </mc:Choice>
    <mc:Fallback/>
  </mc:AlternateContent>
  <xdr:twoCellAnchor editAs="oneCell">
    <xdr:from>
      <xdr:col>6</xdr:col>
      <xdr:colOff>95250</xdr:colOff>
      <xdr:row>0</xdr:row>
      <xdr:rowOff>47625</xdr:rowOff>
    </xdr:from>
    <xdr:to>
      <xdr:col>6</xdr:col>
      <xdr:colOff>714375</xdr:colOff>
      <xdr:row>1</xdr:row>
      <xdr:rowOff>86178</xdr:rowOff>
    </xdr:to>
    <xdr:pic>
      <xdr:nvPicPr>
        <xdr:cNvPr id="2" name="Afbeelding 1">
          <a:extLst>
            <a:ext uri="{FF2B5EF4-FFF2-40B4-BE49-F238E27FC236}">
              <a16:creationId xmlns:a16="http://schemas.microsoft.com/office/drawing/2014/main" id="{DABAC044-9E34-2DF8-4ADF-08A595A7CA1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40750" y="47625"/>
          <a:ext cx="619125" cy="1768928"/>
        </a:xfrm>
        <a:prstGeom prst="rect">
          <a:avLst/>
        </a:prstGeom>
        <a:noFill/>
        <a:ln>
          <a:noFill/>
        </a:ln>
      </xdr:spPr>
    </xdr:pic>
    <xdr:clientData/>
  </xdr:twoCellAnchor>
  <xdr:twoCellAnchor editAs="oneCell">
    <xdr:from>
      <xdr:col>6</xdr:col>
      <xdr:colOff>841376</xdr:colOff>
      <xdr:row>0</xdr:row>
      <xdr:rowOff>1222376</xdr:rowOff>
    </xdr:from>
    <xdr:to>
      <xdr:col>10</xdr:col>
      <xdr:colOff>777573</xdr:colOff>
      <xdr:row>0</xdr:row>
      <xdr:rowOff>1666876</xdr:rowOff>
    </xdr:to>
    <xdr:pic>
      <xdr:nvPicPr>
        <xdr:cNvPr id="4" name="Afbeelding 3">
          <a:extLst>
            <a:ext uri="{FF2B5EF4-FFF2-40B4-BE49-F238E27FC236}">
              <a16:creationId xmlns:a16="http://schemas.microsoft.com/office/drawing/2014/main" id="{82D4D0F1-BFEF-3FA2-54F2-C137EE518F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86876" y="1222376"/>
          <a:ext cx="2460322" cy="44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06.xml"/><Relationship Id="rId21" Type="http://schemas.openxmlformats.org/officeDocument/2006/relationships/ctrlProp" Target="../ctrlProps/ctrlProp10.xml"/><Relationship Id="rId42" Type="http://schemas.openxmlformats.org/officeDocument/2006/relationships/ctrlProp" Target="../ctrlProps/ctrlProp31.xml"/><Relationship Id="rId47" Type="http://schemas.openxmlformats.org/officeDocument/2006/relationships/ctrlProp" Target="../ctrlProps/ctrlProp36.xml"/><Relationship Id="rId63" Type="http://schemas.openxmlformats.org/officeDocument/2006/relationships/ctrlProp" Target="../ctrlProps/ctrlProp52.xml"/><Relationship Id="rId68" Type="http://schemas.openxmlformats.org/officeDocument/2006/relationships/ctrlProp" Target="../ctrlProps/ctrlProp57.xml"/><Relationship Id="rId84" Type="http://schemas.openxmlformats.org/officeDocument/2006/relationships/ctrlProp" Target="../ctrlProps/ctrlProp73.xml"/><Relationship Id="rId89" Type="http://schemas.openxmlformats.org/officeDocument/2006/relationships/ctrlProp" Target="../ctrlProps/ctrlProp78.xml"/><Relationship Id="rId112" Type="http://schemas.openxmlformats.org/officeDocument/2006/relationships/ctrlProp" Target="../ctrlProps/ctrlProp101.xml"/><Relationship Id="rId133" Type="http://schemas.openxmlformats.org/officeDocument/2006/relationships/ctrlProp" Target="../ctrlProps/ctrlProp122.xml"/><Relationship Id="rId138" Type="http://schemas.openxmlformats.org/officeDocument/2006/relationships/ctrlProp" Target="../ctrlProps/ctrlProp127.xml"/><Relationship Id="rId154" Type="http://schemas.openxmlformats.org/officeDocument/2006/relationships/ctrlProp" Target="../ctrlProps/ctrlProp143.xml"/><Relationship Id="rId159" Type="http://schemas.openxmlformats.org/officeDocument/2006/relationships/ctrlProp" Target="../ctrlProps/ctrlProp148.xml"/><Relationship Id="rId175" Type="http://schemas.openxmlformats.org/officeDocument/2006/relationships/ctrlProp" Target="../ctrlProps/ctrlProp164.xml"/><Relationship Id="rId170" Type="http://schemas.openxmlformats.org/officeDocument/2006/relationships/ctrlProp" Target="../ctrlProps/ctrlProp159.xml"/><Relationship Id="rId191" Type="http://schemas.openxmlformats.org/officeDocument/2006/relationships/ctrlProp" Target="../ctrlProps/ctrlProp180.xml"/><Relationship Id="rId16" Type="http://schemas.openxmlformats.org/officeDocument/2006/relationships/ctrlProp" Target="../ctrlProps/ctrlProp5.xml"/><Relationship Id="rId107" Type="http://schemas.openxmlformats.org/officeDocument/2006/relationships/ctrlProp" Target="../ctrlProps/ctrlProp96.xml"/><Relationship Id="rId11" Type="http://schemas.openxmlformats.org/officeDocument/2006/relationships/vmlDrawing" Target="../drawings/vmlDrawing1.vml"/><Relationship Id="rId32" Type="http://schemas.openxmlformats.org/officeDocument/2006/relationships/ctrlProp" Target="../ctrlProps/ctrlProp21.xml"/><Relationship Id="rId37" Type="http://schemas.openxmlformats.org/officeDocument/2006/relationships/ctrlProp" Target="../ctrlProps/ctrlProp26.xml"/><Relationship Id="rId53" Type="http://schemas.openxmlformats.org/officeDocument/2006/relationships/ctrlProp" Target="../ctrlProps/ctrlProp42.xml"/><Relationship Id="rId58" Type="http://schemas.openxmlformats.org/officeDocument/2006/relationships/ctrlProp" Target="../ctrlProps/ctrlProp47.xml"/><Relationship Id="rId74" Type="http://schemas.openxmlformats.org/officeDocument/2006/relationships/ctrlProp" Target="../ctrlProps/ctrlProp63.xml"/><Relationship Id="rId79" Type="http://schemas.openxmlformats.org/officeDocument/2006/relationships/ctrlProp" Target="../ctrlProps/ctrlProp68.xml"/><Relationship Id="rId102" Type="http://schemas.openxmlformats.org/officeDocument/2006/relationships/ctrlProp" Target="../ctrlProps/ctrlProp91.xml"/><Relationship Id="rId123" Type="http://schemas.openxmlformats.org/officeDocument/2006/relationships/ctrlProp" Target="../ctrlProps/ctrlProp112.xml"/><Relationship Id="rId128" Type="http://schemas.openxmlformats.org/officeDocument/2006/relationships/ctrlProp" Target="../ctrlProps/ctrlProp117.xml"/><Relationship Id="rId144" Type="http://schemas.openxmlformats.org/officeDocument/2006/relationships/ctrlProp" Target="../ctrlProps/ctrlProp133.xml"/><Relationship Id="rId149" Type="http://schemas.openxmlformats.org/officeDocument/2006/relationships/ctrlProp" Target="../ctrlProps/ctrlProp138.xml"/><Relationship Id="rId5" Type="http://schemas.openxmlformats.org/officeDocument/2006/relationships/hyperlink" Target="https://eur01.safelinks.protection.outlook.com/?url=https%3A%2F%2Fwww.rvo.nl%2Fsubsidies-financiering%2Fisde%2Fmeldcodelijsten%2Fzonneboilers&amp;data=05%7C02%7Cjanhendrik.hoekstra%40rvo.nl%7C0e390bdd0382462c82b608dd16039871%7C1321633ef6b944e2a44f59b9d264ecb7%7C0%7C0%7C638690926895602071%7CUnknown%7CTWFpbGZsb3d8eyJFbXB0eU1hcGkiOnRydWUsIlYiOiIwLjAuMDAwMCIsIlAiOiJXaW4zMiIsIkFOIjoiTWFpbCIsIldUIjoyfQ%3D%3D%7C0%7C%7C%7C&amp;sdata=beHGluX4ZRXIxE0WLaJZvjuWCAd2r%2FpvnyY0Ch1DPlg%3D&amp;reserved=0" TargetMode="External"/><Relationship Id="rId90" Type="http://schemas.openxmlformats.org/officeDocument/2006/relationships/ctrlProp" Target="../ctrlProps/ctrlProp79.xml"/><Relationship Id="rId95" Type="http://schemas.openxmlformats.org/officeDocument/2006/relationships/ctrlProp" Target="../ctrlProps/ctrlProp84.xml"/><Relationship Id="rId160" Type="http://schemas.openxmlformats.org/officeDocument/2006/relationships/ctrlProp" Target="../ctrlProps/ctrlProp149.xml"/><Relationship Id="rId165" Type="http://schemas.openxmlformats.org/officeDocument/2006/relationships/ctrlProp" Target="../ctrlProps/ctrlProp154.xml"/><Relationship Id="rId181" Type="http://schemas.openxmlformats.org/officeDocument/2006/relationships/ctrlProp" Target="../ctrlProps/ctrlProp170.xml"/><Relationship Id="rId186" Type="http://schemas.openxmlformats.org/officeDocument/2006/relationships/ctrlProp" Target="../ctrlProps/ctrlProp175.xml"/><Relationship Id="rId22" Type="http://schemas.openxmlformats.org/officeDocument/2006/relationships/ctrlProp" Target="../ctrlProps/ctrlProp11.xml"/><Relationship Id="rId27" Type="http://schemas.openxmlformats.org/officeDocument/2006/relationships/ctrlProp" Target="../ctrlProps/ctrlProp16.xml"/><Relationship Id="rId43" Type="http://schemas.openxmlformats.org/officeDocument/2006/relationships/ctrlProp" Target="../ctrlProps/ctrlProp32.xml"/><Relationship Id="rId48" Type="http://schemas.openxmlformats.org/officeDocument/2006/relationships/ctrlProp" Target="../ctrlProps/ctrlProp37.xml"/><Relationship Id="rId64" Type="http://schemas.openxmlformats.org/officeDocument/2006/relationships/ctrlProp" Target="../ctrlProps/ctrlProp53.xml"/><Relationship Id="rId69" Type="http://schemas.openxmlformats.org/officeDocument/2006/relationships/ctrlProp" Target="../ctrlProps/ctrlProp58.xml"/><Relationship Id="rId113" Type="http://schemas.openxmlformats.org/officeDocument/2006/relationships/ctrlProp" Target="../ctrlProps/ctrlProp102.xml"/><Relationship Id="rId118" Type="http://schemas.openxmlformats.org/officeDocument/2006/relationships/ctrlProp" Target="../ctrlProps/ctrlProp107.xml"/><Relationship Id="rId134" Type="http://schemas.openxmlformats.org/officeDocument/2006/relationships/ctrlProp" Target="../ctrlProps/ctrlProp123.xml"/><Relationship Id="rId139" Type="http://schemas.openxmlformats.org/officeDocument/2006/relationships/ctrlProp" Target="../ctrlProps/ctrlProp128.xml"/><Relationship Id="rId80" Type="http://schemas.openxmlformats.org/officeDocument/2006/relationships/ctrlProp" Target="../ctrlProps/ctrlProp69.xml"/><Relationship Id="rId85" Type="http://schemas.openxmlformats.org/officeDocument/2006/relationships/ctrlProp" Target="../ctrlProps/ctrlProp74.xml"/><Relationship Id="rId150" Type="http://schemas.openxmlformats.org/officeDocument/2006/relationships/ctrlProp" Target="../ctrlProps/ctrlProp139.xml"/><Relationship Id="rId155" Type="http://schemas.openxmlformats.org/officeDocument/2006/relationships/ctrlProp" Target="../ctrlProps/ctrlProp144.xml"/><Relationship Id="rId171" Type="http://schemas.openxmlformats.org/officeDocument/2006/relationships/ctrlProp" Target="../ctrlProps/ctrlProp160.xml"/><Relationship Id="rId176" Type="http://schemas.openxmlformats.org/officeDocument/2006/relationships/ctrlProp" Target="../ctrlProps/ctrlProp165.xml"/><Relationship Id="rId192" Type="http://schemas.openxmlformats.org/officeDocument/2006/relationships/ctrlProp" Target="../ctrlProps/ctrlProp181.xml"/><Relationship Id="rId12" Type="http://schemas.openxmlformats.org/officeDocument/2006/relationships/ctrlProp" Target="../ctrlProps/ctrlProp1.xml"/><Relationship Id="rId17" Type="http://schemas.openxmlformats.org/officeDocument/2006/relationships/ctrlProp" Target="../ctrlProps/ctrlProp6.xml"/><Relationship Id="rId33" Type="http://schemas.openxmlformats.org/officeDocument/2006/relationships/ctrlProp" Target="../ctrlProps/ctrlProp22.xml"/><Relationship Id="rId38" Type="http://schemas.openxmlformats.org/officeDocument/2006/relationships/ctrlProp" Target="../ctrlProps/ctrlProp27.xml"/><Relationship Id="rId59" Type="http://schemas.openxmlformats.org/officeDocument/2006/relationships/ctrlProp" Target="../ctrlProps/ctrlProp48.xml"/><Relationship Id="rId103" Type="http://schemas.openxmlformats.org/officeDocument/2006/relationships/ctrlProp" Target="../ctrlProps/ctrlProp92.xml"/><Relationship Id="rId108" Type="http://schemas.openxmlformats.org/officeDocument/2006/relationships/ctrlProp" Target="../ctrlProps/ctrlProp97.xml"/><Relationship Id="rId124" Type="http://schemas.openxmlformats.org/officeDocument/2006/relationships/ctrlProp" Target="../ctrlProps/ctrlProp113.xml"/><Relationship Id="rId129" Type="http://schemas.openxmlformats.org/officeDocument/2006/relationships/ctrlProp" Target="../ctrlProps/ctrlProp118.xml"/><Relationship Id="rId54" Type="http://schemas.openxmlformats.org/officeDocument/2006/relationships/ctrlProp" Target="../ctrlProps/ctrlProp43.xml"/><Relationship Id="rId70" Type="http://schemas.openxmlformats.org/officeDocument/2006/relationships/ctrlProp" Target="../ctrlProps/ctrlProp59.xml"/><Relationship Id="rId75" Type="http://schemas.openxmlformats.org/officeDocument/2006/relationships/ctrlProp" Target="../ctrlProps/ctrlProp64.xml"/><Relationship Id="rId91" Type="http://schemas.openxmlformats.org/officeDocument/2006/relationships/ctrlProp" Target="../ctrlProps/ctrlProp80.xml"/><Relationship Id="rId96" Type="http://schemas.openxmlformats.org/officeDocument/2006/relationships/ctrlProp" Target="../ctrlProps/ctrlProp85.xml"/><Relationship Id="rId140" Type="http://schemas.openxmlformats.org/officeDocument/2006/relationships/ctrlProp" Target="../ctrlProps/ctrlProp129.xml"/><Relationship Id="rId145" Type="http://schemas.openxmlformats.org/officeDocument/2006/relationships/ctrlProp" Target="../ctrlProps/ctrlProp134.xml"/><Relationship Id="rId161" Type="http://schemas.openxmlformats.org/officeDocument/2006/relationships/ctrlProp" Target="../ctrlProps/ctrlProp150.xml"/><Relationship Id="rId166" Type="http://schemas.openxmlformats.org/officeDocument/2006/relationships/ctrlProp" Target="../ctrlProps/ctrlProp155.xml"/><Relationship Id="rId182" Type="http://schemas.openxmlformats.org/officeDocument/2006/relationships/ctrlProp" Target="../ctrlProps/ctrlProp171.xml"/><Relationship Id="rId187" Type="http://schemas.openxmlformats.org/officeDocument/2006/relationships/ctrlProp" Target="../ctrlProps/ctrlProp176.xml"/><Relationship Id="rId1" Type="http://schemas.openxmlformats.org/officeDocument/2006/relationships/hyperlink" Target="https://www.rvo.nl/subsidies-financiering/isde/woningeigenaren/warmtepomp" TargetMode="External"/><Relationship Id="rId6" Type="http://schemas.openxmlformats.org/officeDocument/2006/relationships/hyperlink" Target="https://eur01.safelinks.protection.outlook.com/?url=https%3A%2F%2Fwww.rvo.nl%2Fsubsidies-financiering%2Fisde%2Fmeldcodelijsten%2Fwarmtepompen&amp;data=05%7C02%7Cjanhendrik.hoekstra%40rvo.nl%7C0e390bdd0382462c82b608dd16039871%7C1321633ef6b944e2a44f59b9d264ecb7%7C0%7C0%7C638690926895631869%7CUnknown%7CTWFpbGZsb3d8eyJFbXB0eU1hcGkiOnRydWUsIlYiOiIwLjAuMDAwMCIsIlAiOiJXaW4zMiIsIkFOIjoiTWFpbCIsIldUIjoyfQ%3D%3D%7C0%7C%7C%7C&amp;sdata=GoQd9eUY7CyVBWCRFRj5TcS6APQpAPcy%2FHVE%2F3EDW4I%3D&amp;reserved=0" TargetMode="External"/><Relationship Id="rId23" Type="http://schemas.openxmlformats.org/officeDocument/2006/relationships/ctrlProp" Target="../ctrlProps/ctrlProp12.xml"/><Relationship Id="rId28" Type="http://schemas.openxmlformats.org/officeDocument/2006/relationships/ctrlProp" Target="../ctrlProps/ctrlProp17.xml"/><Relationship Id="rId49" Type="http://schemas.openxmlformats.org/officeDocument/2006/relationships/ctrlProp" Target="../ctrlProps/ctrlProp38.xml"/><Relationship Id="rId114" Type="http://schemas.openxmlformats.org/officeDocument/2006/relationships/ctrlProp" Target="../ctrlProps/ctrlProp103.xml"/><Relationship Id="rId119" Type="http://schemas.openxmlformats.org/officeDocument/2006/relationships/ctrlProp" Target="../ctrlProps/ctrlProp108.xml"/><Relationship Id="rId44" Type="http://schemas.openxmlformats.org/officeDocument/2006/relationships/ctrlProp" Target="../ctrlProps/ctrlProp33.xml"/><Relationship Id="rId60" Type="http://schemas.openxmlformats.org/officeDocument/2006/relationships/ctrlProp" Target="../ctrlProps/ctrlProp49.xml"/><Relationship Id="rId65" Type="http://schemas.openxmlformats.org/officeDocument/2006/relationships/ctrlProp" Target="../ctrlProps/ctrlProp54.xml"/><Relationship Id="rId81" Type="http://schemas.openxmlformats.org/officeDocument/2006/relationships/ctrlProp" Target="../ctrlProps/ctrlProp70.xml"/><Relationship Id="rId86" Type="http://schemas.openxmlformats.org/officeDocument/2006/relationships/ctrlProp" Target="../ctrlProps/ctrlProp75.xml"/><Relationship Id="rId130" Type="http://schemas.openxmlformats.org/officeDocument/2006/relationships/ctrlProp" Target="../ctrlProps/ctrlProp119.xml"/><Relationship Id="rId135" Type="http://schemas.openxmlformats.org/officeDocument/2006/relationships/ctrlProp" Target="../ctrlProps/ctrlProp124.xml"/><Relationship Id="rId151" Type="http://schemas.openxmlformats.org/officeDocument/2006/relationships/ctrlProp" Target="../ctrlProps/ctrlProp140.xml"/><Relationship Id="rId156" Type="http://schemas.openxmlformats.org/officeDocument/2006/relationships/ctrlProp" Target="../ctrlProps/ctrlProp145.xml"/><Relationship Id="rId177" Type="http://schemas.openxmlformats.org/officeDocument/2006/relationships/ctrlProp" Target="../ctrlProps/ctrlProp166.xml"/><Relationship Id="rId172" Type="http://schemas.openxmlformats.org/officeDocument/2006/relationships/ctrlProp" Target="../ctrlProps/ctrlProp161.xml"/><Relationship Id="rId193" Type="http://schemas.openxmlformats.org/officeDocument/2006/relationships/comments" Target="../comments1.xml"/><Relationship Id="rId13" Type="http://schemas.openxmlformats.org/officeDocument/2006/relationships/ctrlProp" Target="../ctrlProps/ctrlProp2.xml"/><Relationship Id="rId18" Type="http://schemas.openxmlformats.org/officeDocument/2006/relationships/ctrlProp" Target="../ctrlProps/ctrlProp7.xml"/><Relationship Id="rId39" Type="http://schemas.openxmlformats.org/officeDocument/2006/relationships/ctrlProp" Target="../ctrlProps/ctrlProp28.xml"/><Relationship Id="rId109" Type="http://schemas.openxmlformats.org/officeDocument/2006/relationships/ctrlProp" Target="../ctrlProps/ctrlProp98.xml"/><Relationship Id="rId34" Type="http://schemas.openxmlformats.org/officeDocument/2006/relationships/ctrlProp" Target="../ctrlProps/ctrlProp23.xml"/><Relationship Id="rId50" Type="http://schemas.openxmlformats.org/officeDocument/2006/relationships/ctrlProp" Target="../ctrlProps/ctrlProp39.xml"/><Relationship Id="rId55" Type="http://schemas.openxmlformats.org/officeDocument/2006/relationships/ctrlProp" Target="../ctrlProps/ctrlProp44.xml"/><Relationship Id="rId76" Type="http://schemas.openxmlformats.org/officeDocument/2006/relationships/ctrlProp" Target="../ctrlProps/ctrlProp65.xml"/><Relationship Id="rId97" Type="http://schemas.openxmlformats.org/officeDocument/2006/relationships/ctrlProp" Target="../ctrlProps/ctrlProp86.xml"/><Relationship Id="rId104" Type="http://schemas.openxmlformats.org/officeDocument/2006/relationships/ctrlProp" Target="../ctrlProps/ctrlProp93.xml"/><Relationship Id="rId120" Type="http://schemas.openxmlformats.org/officeDocument/2006/relationships/ctrlProp" Target="../ctrlProps/ctrlProp109.xml"/><Relationship Id="rId125" Type="http://schemas.openxmlformats.org/officeDocument/2006/relationships/ctrlProp" Target="../ctrlProps/ctrlProp114.xml"/><Relationship Id="rId141" Type="http://schemas.openxmlformats.org/officeDocument/2006/relationships/ctrlProp" Target="../ctrlProps/ctrlProp130.xml"/><Relationship Id="rId146" Type="http://schemas.openxmlformats.org/officeDocument/2006/relationships/ctrlProp" Target="../ctrlProps/ctrlProp135.xml"/><Relationship Id="rId167" Type="http://schemas.openxmlformats.org/officeDocument/2006/relationships/ctrlProp" Target="../ctrlProps/ctrlProp156.xml"/><Relationship Id="rId188" Type="http://schemas.openxmlformats.org/officeDocument/2006/relationships/ctrlProp" Target="../ctrlProps/ctrlProp177.xml"/><Relationship Id="rId7" Type="http://schemas.openxmlformats.org/officeDocument/2006/relationships/hyperlink" Target="https://www.rvo.nl/subsidies-financiering/isde/woningeigenaren/elektrische-kookvoorziening" TargetMode="External"/><Relationship Id="rId71" Type="http://schemas.openxmlformats.org/officeDocument/2006/relationships/ctrlProp" Target="../ctrlProps/ctrlProp60.xml"/><Relationship Id="rId92" Type="http://schemas.openxmlformats.org/officeDocument/2006/relationships/ctrlProp" Target="../ctrlProps/ctrlProp81.xml"/><Relationship Id="rId162" Type="http://schemas.openxmlformats.org/officeDocument/2006/relationships/ctrlProp" Target="../ctrlProps/ctrlProp151.xml"/><Relationship Id="rId183" Type="http://schemas.openxmlformats.org/officeDocument/2006/relationships/ctrlProp" Target="../ctrlProps/ctrlProp172.xml"/><Relationship Id="rId2" Type="http://schemas.openxmlformats.org/officeDocument/2006/relationships/hyperlink" Target="https://www.rvo.nl/subsidies-financiering/isde/woningeigenaren/zonneboiler" TargetMode="External"/><Relationship Id="rId29" Type="http://schemas.openxmlformats.org/officeDocument/2006/relationships/ctrlProp" Target="../ctrlProps/ctrlProp18.xml"/><Relationship Id="rId24" Type="http://schemas.openxmlformats.org/officeDocument/2006/relationships/ctrlProp" Target="../ctrlProps/ctrlProp13.xml"/><Relationship Id="rId40" Type="http://schemas.openxmlformats.org/officeDocument/2006/relationships/ctrlProp" Target="../ctrlProps/ctrlProp29.xml"/><Relationship Id="rId45" Type="http://schemas.openxmlformats.org/officeDocument/2006/relationships/ctrlProp" Target="../ctrlProps/ctrlProp34.xml"/><Relationship Id="rId66" Type="http://schemas.openxmlformats.org/officeDocument/2006/relationships/ctrlProp" Target="../ctrlProps/ctrlProp55.xml"/><Relationship Id="rId87" Type="http://schemas.openxmlformats.org/officeDocument/2006/relationships/ctrlProp" Target="../ctrlProps/ctrlProp76.xml"/><Relationship Id="rId110" Type="http://schemas.openxmlformats.org/officeDocument/2006/relationships/ctrlProp" Target="../ctrlProps/ctrlProp99.xml"/><Relationship Id="rId115" Type="http://schemas.openxmlformats.org/officeDocument/2006/relationships/ctrlProp" Target="../ctrlProps/ctrlProp104.xml"/><Relationship Id="rId131" Type="http://schemas.openxmlformats.org/officeDocument/2006/relationships/ctrlProp" Target="../ctrlProps/ctrlProp120.xml"/><Relationship Id="rId136" Type="http://schemas.openxmlformats.org/officeDocument/2006/relationships/ctrlProp" Target="../ctrlProps/ctrlProp125.xml"/><Relationship Id="rId157" Type="http://schemas.openxmlformats.org/officeDocument/2006/relationships/ctrlProp" Target="../ctrlProps/ctrlProp146.xml"/><Relationship Id="rId178" Type="http://schemas.openxmlformats.org/officeDocument/2006/relationships/ctrlProp" Target="../ctrlProps/ctrlProp167.xml"/><Relationship Id="rId61" Type="http://schemas.openxmlformats.org/officeDocument/2006/relationships/ctrlProp" Target="../ctrlProps/ctrlProp50.xml"/><Relationship Id="rId82" Type="http://schemas.openxmlformats.org/officeDocument/2006/relationships/ctrlProp" Target="../ctrlProps/ctrlProp71.xml"/><Relationship Id="rId152" Type="http://schemas.openxmlformats.org/officeDocument/2006/relationships/ctrlProp" Target="../ctrlProps/ctrlProp141.xml"/><Relationship Id="rId173" Type="http://schemas.openxmlformats.org/officeDocument/2006/relationships/ctrlProp" Target="../ctrlProps/ctrlProp162.xml"/><Relationship Id="rId19" Type="http://schemas.openxmlformats.org/officeDocument/2006/relationships/ctrlProp" Target="../ctrlProps/ctrlProp8.xml"/><Relationship Id="rId14" Type="http://schemas.openxmlformats.org/officeDocument/2006/relationships/ctrlProp" Target="../ctrlProps/ctrlProp3.xml"/><Relationship Id="rId30" Type="http://schemas.openxmlformats.org/officeDocument/2006/relationships/ctrlProp" Target="../ctrlProps/ctrlProp19.xml"/><Relationship Id="rId35" Type="http://schemas.openxmlformats.org/officeDocument/2006/relationships/ctrlProp" Target="../ctrlProps/ctrlProp24.xml"/><Relationship Id="rId56" Type="http://schemas.openxmlformats.org/officeDocument/2006/relationships/ctrlProp" Target="../ctrlProps/ctrlProp45.xml"/><Relationship Id="rId77" Type="http://schemas.openxmlformats.org/officeDocument/2006/relationships/ctrlProp" Target="../ctrlProps/ctrlProp66.xml"/><Relationship Id="rId100" Type="http://schemas.openxmlformats.org/officeDocument/2006/relationships/ctrlProp" Target="../ctrlProps/ctrlProp89.xml"/><Relationship Id="rId105" Type="http://schemas.openxmlformats.org/officeDocument/2006/relationships/ctrlProp" Target="../ctrlProps/ctrlProp94.xml"/><Relationship Id="rId126" Type="http://schemas.openxmlformats.org/officeDocument/2006/relationships/ctrlProp" Target="../ctrlProps/ctrlProp115.xml"/><Relationship Id="rId147" Type="http://schemas.openxmlformats.org/officeDocument/2006/relationships/ctrlProp" Target="../ctrlProps/ctrlProp136.xml"/><Relationship Id="rId168" Type="http://schemas.openxmlformats.org/officeDocument/2006/relationships/ctrlProp" Target="../ctrlProps/ctrlProp157.xml"/><Relationship Id="rId8" Type="http://schemas.openxmlformats.org/officeDocument/2006/relationships/hyperlink" Target="https://www.rvo.nl/subsidies-financiering/isde/isde-wat-wijzigt-er-2026" TargetMode="External"/><Relationship Id="rId51" Type="http://schemas.openxmlformats.org/officeDocument/2006/relationships/ctrlProp" Target="../ctrlProps/ctrlProp40.xml"/><Relationship Id="rId72" Type="http://schemas.openxmlformats.org/officeDocument/2006/relationships/ctrlProp" Target="../ctrlProps/ctrlProp61.xml"/><Relationship Id="rId93" Type="http://schemas.openxmlformats.org/officeDocument/2006/relationships/ctrlProp" Target="../ctrlProps/ctrlProp82.xml"/><Relationship Id="rId98" Type="http://schemas.openxmlformats.org/officeDocument/2006/relationships/ctrlProp" Target="../ctrlProps/ctrlProp87.xml"/><Relationship Id="rId121" Type="http://schemas.openxmlformats.org/officeDocument/2006/relationships/ctrlProp" Target="../ctrlProps/ctrlProp110.xml"/><Relationship Id="rId142" Type="http://schemas.openxmlformats.org/officeDocument/2006/relationships/ctrlProp" Target="../ctrlProps/ctrlProp131.xml"/><Relationship Id="rId163" Type="http://schemas.openxmlformats.org/officeDocument/2006/relationships/ctrlProp" Target="../ctrlProps/ctrlProp152.xml"/><Relationship Id="rId184" Type="http://schemas.openxmlformats.org/officeDocument/2006/relationships/ctrlProp" Target="../ctrlProps/ctrlProp173.xml"/><Relationship Id="rId189" Type="http://schemas.openxmlformats.org/officeDocument/2006/relationships/ctrlProp" Target="../ctrlProps/ctrlProp178.xml"/><Relationship Id="rId3" Type="http://schemas.openxmlformats.org/officeDocument/2006/relationships/hyperlink" Target="http://www.rvo.nl/isde-isolatie" TargetMode="External"/><Relationship Id="rId25" Type="http://schemas.openxmlformats.org/officeDocument/2006/relationships/ctrlProp" Target="../ctrlProps/ctrlProp14.xml"/><Relationship Id="rId46" Type="http://schemas.openxmlformats.org/officeDocument/2006/relationships/ctrlProp" Target="../ctrlProps/ctrlProp35.xml"/><Relationship Id="rId67" Type="http://schemas.openxmlformats.org/officeDocument/2006/relationships/ctrlProp" Target="../ctrlProps/ctrlProp56.xml"/><Relationship Id="rId116" Type="http://schemas.openxmlformats.org/officeDocument/2006/relationships/ctrlProp" Target="../ctrlProps/ctrlProp105.xml"/><Relationship Id="rId137" Type="http://schemas.openxmlformats.org/officeDocument/2006/relationships/ctrlProp" Target="../ctrlProps/ctrlProp126.xml"/><Relationship Id="rId158" Type="http://schemas.openxmlformats.org/officeDocument/2006/relationships/ctrlProp" Target="../ctrlProps/ctrlProp147.xml"/><Relationship Id="rId20" Type="http://schemas.openxmlformats.org/officeDocument/2006/relationships/ctrlProp" Target="../ctrlProps/ctrlProp9.xml"/><Relationship Id="rId41" Type="http://schemas.openxmlformats.org/officeDocument/2006/relationships/ctrlProp" Target="../ctrlProps/ctrlProp30.xml"/><Relationship Id="rId62" Type="http://schemas.openxmlformats.org/officeDocument/2006/relationships/ctrlProp" Target="../ctrlProps/ctrlProp51.xml"/><Relationship Id="rId83" Type="http://schemas.openxmlformats.org/officeDocument/2006/relationships/ctrlProp" Target="../ctrlProps/ctrlProp72.xml"/><Relationship Id="rId88" Type="http://schemas.openxmlformats.org/officeDocument/2006/relationships/ctrlProp" Target="../ctrlProps/ctrlProp77.xml"/><Relationship Id="rId111" Type="http://schemas.openxmlformats.org/officeDocument/2006/relationships/ctrlProp" Target="../ctrlProps/ctrlProp100.xml"/><Relationship Id="rId132" Type="http://schemas.openxmlformats.org/officeDocument/2006/relationships/ctrlProp" Target="../ctrlProps/ctrlProp121.xml"/><Relationship Id="rId153" Type="http://schemas.openxmlformats.org/officeDocument/2006/relationships/ctrlProp" Target="../ctrlProps/ctrlProp142.xml"/><Relationship Id="rId174" Type="http://schemas.openxmlformats.org/officeDocument/2006/relationships/ctrlProp" Target="../ctrlProps/ctrlProp163.xml"/><Relationship Id="rId179" Type="http://schemas.openxmlformats.org/officeDocument/2006/relationships/ctrlProp" Target="../ctrlProps/ctrlProp168.xml"/><Relationship Id="rId190" Type="http://schemas.openxmlformats.org/officeDocument/2006/relationships/ctrlProp" Target="../ctrlProps/ctrlProp179.xml"/><Relationship Id="rId15" Type="http://schemas.openxmlformats.org/officeDocument/2006/relationships/ctrlProp" Target="../ctrlProps/ctrlProp4.xml"/><Relationship Id="rId36" Type="http://schemas.openxmlformats.org/officeDocument/2006/relationships/ctrlProp" Target="../ctrlProps/ctrlProp25.xml"/><Relationship Id="rId57" Type="http://schemas.openxmlformats.org/officeDocument/2006/relationships/ctrlProp" Target="../ctrlProps/ctrlProp46.xml"/><Relationship Id="rId106" Type="http://schemas.openxmlformats.org/officeDocument/2006/relationships/ctrlProp" Target="../ctrlProps/ctrlProp95.xml"/><Relationship Id="rId127" Type="http://schemas.openxmlformats.org/officeDocument/2006/relationships/ctrlProp" Target="../ctrlProps/ctrlProp116.xml"/><Relationship Id="rId10" Type="http://schemas.openxmlformats.org/officeDocument/2006/relationships/drawing" Target="../drawings/drawing1.xml"/><Relationship Id="rId31" Type="http://schemas.openxmlformats.org/officeDocument/2006/relationships/ctrlProp" Target="../ctrlProps/ctrlProp20.xml"/><Relationship Id="rId52" Type="http://schemas.openxmlformats.org/officeDocument/2006/relationships/ctrlProp" Target="../ctrlProps/ctrlProp41.xml"/><Relationship Id="rId73" Type="http://schemas.openxmlformats.org/officeDocument/2006/relationships/ctrlProp" Target="../ctrlProps/ctrlProp62.xml"/><Relationship Id="rId78" Type="http://schemas.openxmlformats.org/officeDocument/2006/relationships/ctrlProp" Target="../ctrlProps/ctrlProp67.xml"/><Relationship Id="rId94" Type="http://schemas.openxmlformats.org/officeDocument/2006/relationships/ctrlProp" Target="../ctrlProps/ctrlProp83.xml"/><Relationship Id="rId99" Type="http://schemas.openxmlformats.org/officeDocument/2006/relationships/ctrlProp" Target="../ctrlProps/ctrlProp88.xml"/><Relationship Id="rId101" Type="http://schemas.openxmlformats.org/officeDocument/2006/relationships/ctrlProp" Target="../ctrlProps/ctrlProp90.xml"/><Relationship Id="rId122" Type="http://schemas.openxmlformats.org/officeDocument/2006/relationships/ctrlProp" Target="../ctrlProps/ctrlProp111.xml"/><Relationship Id="rId143" Type="http://schemas.openxmlformats.org/officeDocument/2006/relationships/ctrlProp" Target="../ctrlProps/ctrlProp132.xml"/><Relationship Id="rId148" Type="http://schemas.openxmlformats.org/officeDocument/2006/relationships/ctrlProp" Target="../ctrlProps/ctrlProp137.xml"/><Relationship Id="rId164" Type="http://schemas.openxmlformats.org/officeDocument/2006/relationships/ctrlProp" Target="../ctrlProps/ctrlProp153.xml"/><Relationship Id="rId169" Type="http://schemas.openxmlformats.org/officeDocument/2006/relationships/ctrlProp" Target="../ctrlProps/ctrlProp158.xml"/><Relationship Id="rId185" Type="http://schemas.openxmlformats.org/officeDocument/2006/relationships/ctrlProp" Target="../ctrlProps/ctrlProp174.xml"/><Relationship Id="rId4" Type="http://schemas.openxmlformats.org/officeDocument/2006/relationships/hyperlink" Target="http://www.rvo.nl/isde-warmtenet" TargetMode="External"/><Relationship Id="rId9" Type="http://schemas.openxmlformats.org/officeDocument/2006/relationships/printerSettings" Target="../printerSettings/printerSettings1.bin"/><Relationship Id="rId180" Type="http://schemas.openxmlformats.org/officeDocument/2006/relationships/ctrlProp" Target="../ctrlProps/ctrlProp169.xml"/><Relationship Id="rId26" Type="http://schemas.openxmlformats.org/officeDocument/2006/relationships/ctrlProp" Target="../ctrlProps/ctrlProp1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08070-2492-4A7C-A539-0AEACF9B4667}">
  <sheetPr codeName="Blad1">
    <pageSetUpPr fitToPage="1"/>
  </sheetPr>
  <dimension ref="A1:Q249"/>
  <sheetViews>
    <sheetView tabSelected="1" zoomScaleNormal="100" workbookViewId="0">
      <selection activeCell="R1" sqref="R1"/>
    </sheetView>
  </sheetViews>
  <sheetFormatPr defaultColWidth="0" defaultRowHeight="15" zeroHeight="1"/>
  <cols>
    <col min="1" max="1" width="40.140625" style="2" customWidth="1"/>
    <col min="2" max="2" width="1.7109375" style="2" customWidth="1"/>
    <col min="3" max="3" width="40.7109375" style="2" customWidth="1"/>
    <col min="4" max="4" width="1.7109375" style="2" customWidth="1"/>
    <col min="5" max="5" width="40.7109375" style="2" customWidth="1"/>
    <col min="6" max="6" width="1.7109375" style="2" customWidth="1"/>
    <col min="7" max="7" width="18.7109375" style="2" customWidth="1"/>
    <col min="8" max="8" width="1.7109375" style="2" customWidth="1"/>
    <col min="9" max="9" width="15.7109375" style="2" customWidth="1"/>
    <col min="10" max="10" width="1.7109375" style="2" customWidth="1"/>
    <col min="11" max="11" width="12.7109375" style="2" customWidth="1"/>
    <col min="12" max="12" width="1.7109375" style="2" customWidth="1"/>
    <col min="13" max="13" width="13.7109375" style="2" customWidth="1"/>
    <col min="14" max="14" width="1.7109375" style="2" customWidth="1"/>
    <col min="15" max="15" width="13.7109375" style="2" customWidth="1"/>
    <col min="16" max="16" width="2.7109375" style="2" customWidth="1"/>
    <col min="17" max="17" width="91.140625" style="2" customWidth="1"/>
    <col min="18" max="18" width="9.140625" style="2" customWidth="1"/>
    <col min="19" max="16384" width="9.140625" style="2" hidden="1"/>
  </cols>
  <sheetData>
    <row r="1" spans="1:15" ht="135.75" customHeight="1"/>
    <row r="2" spans="1:15" ht="36.75" customHeight="1">
      <c r="A2" s="79" t="s">
        <v>150</v>
      </c>
      <c r="B2" s="3"/>
      <c r="C2" s="3"/>
    </row>
    <row r="3" spans="1:15">
      <c r="A3" s="2" t="s">
        <v>558</v>
      </c>
    </row>
    <row r="4" spans="1:15"/>
    <row r="5" spans="1:15" ht="68.25" customHeight="1">
      <c r="A5" s="164" t="s">
        <v>148</v>
      </c>
      <c r="B5" s="164"/>
      <c r="C5" s="165"/>
      <c r="D5" s="165"/>
      <c r="E5" s="165"/>
      <c r="F5" s="165"/>
      <c r="G5" s="165"/>
      <c r="H5" s="165"/>
      <c r="I5" s="165"/>
      <c r="J5" s="165"/>
      <c r="K5" s="165"/>
      <c r="L5" s="165"/>
      <c r="M5" s="165"/>
      <c r="N5" s="165"/>
      <c r="O5" s="165"/>
    </row>
    <row r="6" spans="1:15" ht="33.75" customHeight="1">
      <c r="A6" s="34"/>
      <c r="B6" s="34"/>
      <c r="C6" s="37"/>
      <c r="D6" s="37"/>
      <c r="E6" s="37"/>
      <c r="F6" s="37"/>
      <c r="G6" s="37"/>
      <c r="H6" s="37"/>
      <c r="I6" s="37"/>
      <c r="J6" s="37"/>
    </row>
    <row r="7" spans="1:15" ht="33.75" customHeight="1">
      <c r="A7" s="48" t="s">
        <v>67</v>
      </c>
      <c r="B7" s="34"/>
      <c r="C7" s="37"/>
      <c r="D7" s="37"/>
      <c r="E7" s="37"/>
      <c r="F7" s="37"/>
      <c r="G7" s="37"/>
      <c r="H7" s="37"/>
      <c r="I7" s="37"/>
      <c r="J7" s="37"/>
    </row>
    <row r="8" spans="1:15" ht="20.100000000000001" customHeight="1">
      <c r="A8" s="180" t="s">
        <v>2</v>
      </c>
      <c r="B8" s="180"/>
      <c r="C8" s="181"/>
    </row>
    <row r="9" spans="1:15" ht="20.100000000000001" customHeight="1">
      <c r="A9" s="4" t="s">
        <v>0</v>
      </c>
      <c r="B9" s="4"/>
      <c r="C9" s="39"/>
    </row>
    <row r="10" spans="1:15" ht="20.100000000000001" customHeight="1">
      <c r="A10" s="160" t="s">
        <v>556</v>
      </c>
      <c r="B10" s="4"/>
      <c r="C10" s="39"/>
    </row>
    <row r="11" spans="1:15" ht="20.100000000000001" customHeight="1">
      <c r="A11" s="4" t="s">
        <v>9</v>
      </c>
      <c r="B11" s="5"/>
      <c r="C11" s="39"/>
    </row>
    <row r="12" spans="1:15" ht="20.100000000000001" customHeight="1">
      <c r="A12" s="159" t="s">
        <v>1</v>
      </c>
      <c r="B12" s="38"/>
      <c r="C12" s="39"/>
    </row>
    <row r="13" spans="1:15" ht="20.100000000000001" customHeight="1">
      <c r="A13" s="159" t="s">
        <v>46</v>
      </c>
      <c r="B13" s="38"/>
      <c r="C13" s="39"/>
    </row>
    <row r="14" spans="1:15"/>
    <row r="15" spans="1:15"/>
    <row r="16" spans="1:15">
      <c r="A16" s="171" t="s">
        <v>557</v>
      </c>
      <c r="B16" s="171"/>
      <c r="C16" s="172"/>
      <c r="D16" s="173"/>
      <c r="E16" s="173"/>
      <c r="F16" s="174"/>
      <c r="G16" s="174"/>
    </row>
    <row r="17" spans="1:17" ht="20.100000000000001" customHeight="1">
      <c r="A17" s="40"/>
      <c r="B17" s="40"/>
      <c r="C17" s="41"/>
    </row>
    <row r="18" spans="1:17" ht="20.25">
      <c r="A18" s="47" t="s">
        <v>62</v>
      </c>
      <c r="B18" s="40"/>
      <c r="C18" s="41"/>
    </row>
    <row r="19" spans="1:17" ht="23.25">
      <c r="A19" s="6"/>
      <c r="B19" s="40"/>
      <c r="C19" s="41"/>
    </row>
    <row r="20" spans="1:17" ht="15.75">
      <c r="A20" s="45" t="s">
        <v>63</v>
      </c>
      <c r="B20" s="40"/>
      <c r="C20" s="41"/>
      <c r="E20" s="74" t="str">
        <f>IF(Hulpblad!B9=1,"",IF(Hulpblad!B9=2,"Let op: U kunt voor dezelfde isolatietechniek niet nogmaals subsidie aanvragen!","Let op: U kunt voor dezelfde isolatietechniek niet nogmaals subsidie aanvragen. Uitzondering hierop zijn glasmaatregelen, daar mag u binnen 24 maanden wel een 2e aanvraag voor indienen."))</f>
        <v/>
      </c>
    </row>
    <row r="21" spans="1:17" ht="15.75">
      <c r="A21" s="7"/>
      <c r="B21" s="40"/>
      <c r="C21" s="41"/>
      <c r="E21" s="74" t="str">
        <f>IF(Hulpblad!B9=1,"",IF(Hulpblad!B9=2,"","De eerder gesubsidieerde en uitgevoerde maatregelen die minder dan 24 maanden geleden zijn geïnstalleerd tellen wel mee voor de twee-maatregelen eis."))</f>
        <v/>
      </c>
    </row>
    <row r="22" spans="1:17" ht="15.75">
      <c r="A22" s="7"/>
      <c r="B22" s="40"/>
      <c r="C22" s="41"/>
    </row>
    <row r="23" spans="1:17" ht="15.75">
      <c r="A23" s="7"/>
      <c r="B23" s="40"/>
      <c r="C23" s="41"/>
      <c r="E23" s="8"/>
    </row>
    <row r="24" spans="1:17" ht="15.75">
      <c r="A24" s="40"/>
      <c r="B24" s="40"/>
      <c r="C24" s="41"/>
    </row>
    <row r="25" spans="1:17" ht="20.25">
      <c r="A25" s="46" t="s">
        <v>68</v>
      </c>
      <c r="Q25" s="42"/>
    </row>
    <row r="26" spans="1:17">
      <c r="A26" s="74" t="s">
        <v>69</v>
      </c>
      <c r="B26" s="8"/>
      <c r="C26" s="8"/>
      <c r="D26" s="8"/>
      <c r="E26" s="9"/>
      <c r="Q26" s="42"/>
    </row>
    <row r="27" spans="1:17">
      <c r="A27" s="74" t="s">
        <v>233</v>
      </c>
      <c r="B27" s="8"/>
      <c r="C27" s="8"/>
      <c r="D27" s="8"/>
      <c r="E27" s="9"/>
      <c r="Q27" s="42"/>
    </row>
    <row r="28" spans="1:17">
      <c r="A28" s="74" t="s">
        <v>234</v>
      </c>
      <c r="B28" s="8"/>
      <c r="C28" s="8"/>
      <c r="D28" s="8"/>
      <c r="Q28" s="42"/>
    </row>
    <row r="29" spans="1:17" ht="42" customHeight="1">
      <c r="C29" s="110" t="s">
        <v>85</v>
      </c>
      <c r="E29" s="109" t="s">
        <v>59</v>
      </c>
      <c r="G29" s="50" t="s">
        <v>117</v>
      </c>
      <c r="I29" s="50" t="s">
        <v>118</v>
      </c>
      <c r="K29" s="51" t="s">
        <v>119</v>
      </c>
      <c r="M29" s="49" t="s">
        <v>120</v>
      </c>
      <c r="O29" s="50" t="s">
        <v>121</v>
      </c>
      <c r="Q29" s="42"/>
    </row>
    <row r="30" spans="1:17" ht="15" customHeight="1">
      <c r="A30" s="42" t="s">
        <v>36</v>
      </c>
      <c r="E30" s="37"/>
      <c r="G30" s="52" t="str">
        <f>""&amp;VLOOKUP(Hulpblad!C21,Hulpblad!C381:I426,3,FALSE)&amp;" - "&amp;VLOOKUP(Hulpblad!C21,Hulpblad!C381:I426,4,FALSE)&amp;""</f>
        <v xml:space="preserve"> - </v>
      </c>
      <c r="I30" s="53">
        <f>VLOOKUP(Hulpblad!C21,Hulpblad!C381:I426,7,FALSE)</f>
        <v>0</v>
      </c>
      <c r="K30" s="54"/>
      <c r="L30" s="42"/>
      <c r="M30" s="129">
        <f>IF(AND(I30&gt;0,I36&gt;0,K30&gt;0,(K30+K36&gt;=20)),MIN(200,K30),
IF(AND(I30&gt;0,K30&gt;=20),MIN(200,K30),0))</f>
        <v>0</v>
      </c>
      <c r="N30" s="42"/>
      <c r="O30" s="56">
        <f>I30*M30</f>
        <v>0</v>
      </c>
      <c r="Q30" s="182" t="str">
        <f>IF(Hulpblad!C15="Geen dakisolatie","",
IF(Hulpblad!B20=1,"Vul in wanneer de isolatie is aangebracht",
IF(K30=0,"Vul in de blauwe cel het aantal m² te isoleren oppervlak in",
IF(AND(I36&gt;0,K30+K36&gt;=20),"",
IF(K30&lt;20,"U voldoet niet aan het minimum oppervlakte aan gecombineerde dak, zolder- en vlieringisolatie om voor subsidie in aanmerking te komen.","")))))</f>
        <v/>
      </c>
    </row>
    <row r="31" spans="1:17" ht="15" customHeight="1">
      <c r="Q31" s="185"/>
    </row>
    <row r="32" spans="1:17" ht="15" customHeight="1">
      <c r="Q32" s="42"/>
    </row>
    <row r="33" spans="1:17" ht="15" customHeight="1">
      <c r="Q33" s="42"/>
    </row>
    <row r="34" spans="1:17" ht="15" customHeight="1">
      <c r="Q34" s="42"/>
    </row>
    <row r="35" spans="1:17" ht="15" customHeight="1">
      <c r="Q35" s="42"/>
    </row>
    <row r="36" spans="1:17" ht="15" customHeight="1">
      <c r="A36" s="125" t="s">
        <v>217</v>
      </c>
      <c r="E36" s="37"/>
      <c r="G36" s="52" t="str">
        <f>""&amp;VLOOKUP(Hulpblad!C32,Hulpblad!C381:I426,3,FALSE)&amp;" - "&amp;VLOOKUP(Hulpblad!C32,Hulpblad!C381:I426,4,FALSE)&amp;""</f>
        <v xml:space="preserve"> - </v>
      </c>
      <c r="I36" s="53">
        <f>VLOOKUP(Hulpblad!C32,Hulpblad!C381:I426,7,FALSE)</f>
        <v>0</v>
      </c>
      <c r="K36" s="54"/>
      <c r="L36" s="42"/>
      <c r="M36" s="129">
        <f>IF(AND(I30&gt;0,I36&gt;0,K36&gt;0,(K30+K36&gt;=20)),MIN(200-M30,130,K36),
IF(AND(I36&gt;0,K36&gt;=20),MIN(130,K36),0))</f>
        <v>0</v>
      </c>
      <c r="N36" s="42"/>
      <c r="O36" s="56">
        <f>I36*M36</f>
        <v>0</v>
      </c>
      <c r="Q36" s="182" t="str">
        <f>IF(Hulpblad!C26="Geen zolder- of vlieringisolatie","",
IF(Hulpblad!B31=1,"Vul in wanneer de isolatie is aangebracht",
IF(K36=0,"Vul in de blauwe cel het aantal m² te isoleren oppervlak in",
IF(AND(K36&gt;0,M36&lt;K36),"Het subsidiabele aantal m2 is gemaximaliseerd op 130 m2 zolder-of vlieringisolatie of het maximum subsidiabele oppervlak van dak, zolder-en vlieringisolatie samen van 200 m2",
IF(AND(I30&gt;0,K30+K36&gt;=20),"",
IF(K36&lt;20,"U voldoet niet aan het minimum oppervlakte aan gecombineerde dak, zolder- en vlieringisolatie om voor subsidie in aanmerking te komen.",""))))))</f>
        <v/>
      </c>
    </row>
    <row r="37" spans="1:17" ht="15" customHeight="1">
      <c r="Q37" s="179"/>
    </row>
    <row r="38" spans="1:17" ht="15" customHeight="1">
      <c r="Q38" s="42"/>
    </row>
    <row r="39" spans="1:17" ht="15" customHeight="1">
      <c r="Q39" s="42"/>
    </row>
    <row r="40" spans="1:17" ht="15" customHeight="1">
      <c r="Q40" s="42"/>
    </row>
    <row r="41" spans="1:17" ht="15" customHeight="1">
      <c r="Q41" s="42"/>
    </row>
    <row r="42" spans="1:17" ht="15" customHeight="1">
      <c r="A42" s="42" t="s">
        <v>37</v>
      </c>
      <c r="G42" s="52" t="str">
        <f>""&amp;VLOOKUP(Hulpblad!C43,Hulpblad!C381:I426,3,FALSE)&amp;" - "&amp;VLOOKUP(Hulpblad!C43,Hulpblad!C381:I426,4,FALSE)&amp;""</f>
        <v xml:space="preserve"> - </v>
      </c>
      <c r="H42" s="42"/>
      <c r="I42" s="53">
        <f>VLOOKUP(Hulpblad!C43,Hulpblad!C381:I426,7,FALSE)</f>
        <v>0</v>
      </c>
      <c r="J42" s="42"/>
      <c r="K42" s="54"/>
      <c r="L42" s="42"/>
      <c r="M42" s="55">
        <f>IF(AND($I42&gt;0,$K42&gt;=10),MIN(170,$K42),0)</f>
        <v>0</v>
      </c>
      <c r="N42" s="42"/>
      <c r="O42" s="56">
        <f>I42*M42</f>
        <v>0</v>
      </c>
      <c r="Q42" s="74" t="str">
        <f>IF(Hulpblad!C37="Geen gevelisolatie","",
IF(Hulpblad!B42=1,"Vul in wanneer de isolatie is aangebracht",
IF(K42=0,"Vul in de blauwe cel het aantal m² te isoleren oppervlak in",
IF(K42&lt;Hulpblad!E391,"U voldoet niet aan het minimum oppervlakte om voor subsidie in aanmerking te komen.",""))))</f>
        <v/>
      </c>
    </row>
    <row r="43" spans="1:17" ht="15" customHeight="1">
      <c r="G43" s="57"/>
      <c r="H43" s="42"/>
      <c r="I43" s="58"/>
      <c r="J43" s="42"/>
      <c r="K43" s="80"/>
      <c r="L43" s="42"/>
      <c r="M43" s="42"/>
      <c r="N43" s="42"/>
      <c r="O43" s="59"/>
      <c r="Q43" s="74"/>
    </row>
    <row r="44" spans="1:17" ht="15" customHeight="1">
      <c r="G44" s="57"/>
      <c r="H44" s="42"/>
      <c r="I44" s="58"/>
      <c r="J44" s="42"/>
      <c r="K44" s="80"/>
      <c r="L44" s="42"/>
      <c r="M44" s="42"/>
      <c r="N44" s="42"/>
      <c r="O44" s="59"/>
      <c r="Q44" s="74"/>
    </row>
    <row r="45" spans="1:17" ht="15" customHeight="1">
      <c r="G45" s="57"/>
      <c r="H45" s="42"/>
      <c r="I45" s="58"/>
      <c r="J45" s="42"/>
      <c r="K45" s="80"/>
      <c r="L45" s="42"/>
      <c r="M45" s="42"/>
      <c r="N45" s="42"/>
      <c r="O45" s="59"/>
      <c r="Q45" s="74"/>
    </row>
    <row r="46" spans="1:17" ht="15" customHeight="1">
      <c r="G46" s="57"/>
      <c r="H46" s="42"/>
      <c r="I46" s="58"/>
      <c r="J46" s="42"/>
      <c r="K46" s="80"/>
      <c r="L46" s="42"/>
      <c r="M46" s="42"/>
      <c r="N46" s="42"/>
      <c r="O46" s="59"/>
      <c r="Q46" s="74"/>
    </row>
    <row r="47" spans="1:17" ht="15" customHeight="1">
      <c r="G47" s="57"/>
      <c r="H47" s="42"/>
      <c r="I47" s="58"/>
      <c r="J47" s="42"/>
      <c r="K47" s="80"/>
      <c r="L47" s="42"/>
      <c r="M47" s="42"/>
      <c r="N47" s="42"/>
      <c r="O47" s="59"/>
      <c r="Q47" s="74"/>
    </row>
    <row r="48" spans="1:17" ht="15" customHeight="1">
      <c r="A48" s="42" t="s">
        <v>38</v>
      </c>
      <c r="G48" s="52" t="str">
        <f>""&amp;VLOOKUP(Hulpblad!C54,Hulpblad!C381:I426,3,FALSE)&amp;" - "&amp;VLOOKUP(Hulpblad!C54,Hulpblad!C381:I426,4,FALSE)&amp;""</f>
        <v xml:space="preserve"> - </v>
      </c>
      <c r="H48" s="42"/>
      <c r="I48" s="53">
        <f>VLOOKUP(Hulpblad!C54,Hulpblad!C381:I426,7,FALSE)</f>
        <v>0</v>
      </c>
      <c r="J48" s="42"/>
      <c r="K48" s="54"/>
      <c r="L48" s="42"/>
      <c r="M48" s="129">
        <f>IF(AND($I48&gt;0,$K48&gt;=10),MIN(170,$K48),0)</f>
        <v>0</v>
      </c>
      <c r="N48" s="42"/>
      <c r="O48" s="56">
        <f>I48*M48</f>
        <v>0</v>
      </c>
      <c r="Q48" s="74" t="str">
        <f>IF(Hulpblad!C48="Geen spouwmuurisolatie","",
IF(Hulpblad!B53=1,"Vul in wanneer de isolatie is aangebracht",
IF(K48=0,"Vul in de blauwe cel het aantal m² te isoleren oppervlak in",
IF(K48&lt;Hulpblad!E392,"U voldoet niet aan het minimum oppervlakte om voor subsidie in aanmerking te komen.",""))))</f>
        <v/>
      </c>
    </row>
    <row r="49" spans="1:17" ht="15" customHeight="1">
      <c r="G49" s="57"/>
      <c r="H49" s="42"/>
      <c r="I49" s="58"/>
      <c r="J49" s="42"/>
      <c r="K49" s="80"/>
      <c r="L49" s="42"/>
      <c r="M49" s="42"/>
      <c r="N49" s="42"/>
      <c r="O49" s="59"/>
      <c r="Q49" s="74"/>
    </row>
    <row r="50" spans="1:17" ht="15" customHeight="1">
      <c r="G50" s="57"/>
      <c r="H50" s="42"/>
      <c r="I50" s="58"/>
      <c r="J50" s="42"/>
      <c r="K50" s="80"/>
      <c r="L50" s="42"/>
      <c r="M50" s="42"/>
      <c r="N50" s="42"/>
      <c r="O50" s="59"/>
      <c r="Q50" s="74"/>
    </row>
    <row r="51" spans="1:17" ht="15" customHeight="1">
      <c r="G51" s="57"/>
      <c r="H51" s="42"/>
      <c r="I51" s="58"/>
      <c r="J51" s="42"/>
      <c r="K51" s="80"/>
      <c r="L51" s="42"/>
      <c r="M51" s="42"/>
      <c r="N51" s="42"/>
      <c r="O51" s="59"/>
      <c r="Q51" s="74"/>
    </row>
    <row r="52" spans="1:17" ht="15" customHeight="1">
      <c r="G52" s="57"/>
      <c r="H52" s="42"/>
      <c r="I52" s="58"/>
      <c r="J52" s="42"/>
      <c r="K52" s="80"/>
      <c r="L52" s="42"/>
      <c r="M52" s="42"/>
      <c r="N52" s="42"/>
      <c r="O52" s="59"/>
      <c r="Q52" s="74"/>
    </row>
    <row r="53" spans="1:17" ht="15" customHeight="1">
      <c r="G53" s="57"/>
      <c r="H53" s="42"/>
      <c r="I53" s="58"/>
      <c r="J53" s="42"/>
      <c r="K53" s="80"/>
      <c r="L53" s="42"/>
      <c r="M53" s="42"/>
      <c r="N53" s="42"/>
      <c r="O53" s="59"/>
      <c r="Q53" s="74"/>
    </row>
    <row r="54" spans="1:17" ht="15" customHeight="1">
      <c r="A54" s="42" t="s">
        <v>39</v>
      </c>
      <c r="G54" s="52" t="str">
        <f>""&amp;VLOOKUP(Hulpblad!C65,Hulpblad!C381:I426,3,FALSE)&amp;" - "&amp;VLOOKUP(Hulpblad!C65,Hulpblad!C381:I426,4,FALSE)&amp;""</f>
        <v xml:space="preserve"> - </v>
      </c>
      <c r="H54" s="42"/>
      <c r="I54" s="53">
        <f>VLOOKUP(Hulpblad!C65,Hulpblad!C381:I426,7,FALSE)</f>
        <v>0</v>
      </c>
      <c r="J54" s="42"/>
      <c r="K54" s="54"/>
      <c r="L54" s="42"/>
      <c r="M54" s="55">
        <f>IF(AND(I54&gt;0,I60&gt;0,K54&gt;0,(K54+K60&gt;=20)),MIN(130,K54),
IF(AND(I54&gt;0,K54&gt;=20),MIN(130,K54),0))</f>
        <v>0</v>
      </c>
      <c r="N54" s="42"/>
      <c r="O54" s="56">
        <f>I54*M54</f>
        <v>0</v>
      </c>
      <c r="Q54" s="182" t="str">
        <f>IF(Hulpblad!C59="Geen vloerisolatie","",
IF(Hulpblad!B64=1,"Vul in wanneer de isolatie is aangebracht",
IF(K54=0,"Vul in de blauwe cel het aantal m² te isoleren oppervlak in",
IF(AND(I60&gt;0,K54+K60&gt;=20),"",
IF(K54&lt;20,"U voldoet niet aan het minimum oppervlakte aan gecombineerde vloer-en bodemisolatie om voor subsidie in aanmerking te komen.","")))))</f>
        <v/>
      </c>
    </row>
    <row r="55" spans="1:17">
      <c r="Q55" s="185"/>
    </row>
    <row r="56" spans="1:17" ht="15" customHeight="1">
      <c r="G56" s="11"/>
      <c r="I56" s="11"/>
      <c r="K56" s="11"/>
      <c r="O56" s="12"/>
      <c r="Q56" s="43"/>
    </row>
    <row r="57" spans="1:17" ht="15" customHeight="1">
      <c r="G57" s="11"/>
      <c r="I57" s="11"/>
      <c r="K57" s="11"/>
      <c r="O57" s="12"/>
      <c r="Q57" s="43"/>
    </row>
    <row r="58" spans="1:17" ht="15" customHeight="1">
      <c r="G58" s="11"/>
      <c r="I58" s="11"/>
      <c r="K58" s="11"/>
      <c r="O58" s="12"/>
      <c r="Q58" s="43"/>
    </row>
    <row r="59" spans="1:17" ht="15" customHeight="1">
      <c r="G59" s="11"/>
      <c r="I59" s="11"/>
      <c r="K59" s="11"/>
      <c r="O59" s="12"/>
      <c r="Q59" s="43"/>
    </row>
    <row r="60" spans="1:17" ht="15" customHeight="1">
      <c r="A60" s="42" t="s">
        <v>39</v>
      </c>
      <c r="G60" s="52" t="str">
        <f>""&amp;VLOOKUP(Hulpblad!C76,Hulpblad!C381:I426,3,FALSE)&amp;" - "&amp;VLOOKUP(Hulpblad!C76,Hulpblad!C381:I426,4,FALSE)&amp;""</f>
        <v xml:space="preserve"> - </v>
      </c>
      <c r="H60" s="42"/>
      <c r="I60" s="53">
        <f>VLOOKUP(Hulpblad!C76,Hulpblad!C381:I426,7,FALSE)</f>
        <v>0</v>
      </c>
      <c r="J60" s="42"/>
      <c r="K60" s="54"/>
      <c r="L60" s="42"/>
      <c r="M60" s="55">
        <f>IF(AND(I54&gt;0,I60&gt;0,K60&gt;0,(K54+K60&gt;=20)),MIN(130-M54,130,K60),
IF(AND(I60&gt;0,K60&gt;=20),MIN(130,K60),0))</f>
        <v>0</v>
      </c>
      <c r="N60" s="42"/>
      <c r="O60" s="56">
        <f>I60*M60</f>
        <v>0</v>
      </c>
      <c r="Q60" s="182" t="str">
        <f>IF(Hulpblad!C70="Geen bodemisolatie","",
IF(Hulpblad!B75=1,"Vul in wanneer de isolatie is aangebracht",
IF(K60=0,"Vul in de blauwe cel het aantal m² te isoleren oppervlak in",
IF(AND(K60&gt;0,M60&lt;K60),"Het subsidiabele aantal m2 is gemaximaliseerd op 130 m2 vloerisolatie of het maximum subsidiabele oppervlak van vloer-en bodemisolatie samen van 130 m2",
IF(AND(I54&gt;0,K54+K60&gt;=20),"",
IF(K60&lt;20,"U voldoet niet aan het minimum oppervlakte aan gecombineerde vloer-en bodemisolatie om voor subsidie in aanmerking te komen.",""))))))</f>
        <v/>
      </c>
    </row>
    <row r="61" spans="1:17">
      <c r="Q61" s="185"/>
    </row>
    <row r="62" spans="1:17" ht="15" customHeight="1">
      <c r="G62" s="11"/>
      <c r="I62" s="11"/>
      <c r="K62" s="11"/>
      <c r="O62" s="12"/>
      <c r="Q62" s="43"/>
    </row>
    <row r="63" spans="1:17" ht="15" customHeight="1">
      <c r="G63" s="11"/>
      <c r="I63" s="11"/>
      <c r="K63" s="11"/>
      <c r="O63" s="12"/>
      <c r="Q63" s="43"/>
    </row>
    <row r="64" spans="1:17" ht="15" customHeight="1">
      <c r="G64" s="11"/>
      <c r="I64" s="11"/>
      <c r="K64" s="11"/>
      <c r="O64" s="12"/>
      <c r="Q64" s="43"/>
    </row>
    <row r="65" spans="1:17" ht="15" customHeight="1">
      <c r="G65" s="11"/>
      <c r="I65" s="11"/>
      <c r="K65" s="11"/>
      <c r="O65" s="12"/>
      <c r="Q65" s="43"/>
    </row>
    <row r="66" spans="1:17" ht="30" customHeight="1">
      <c r="A66" s="42" t="s">
        <v>116</v>
      </c>
      <c r="I66" s="183" t="s">
        <v>149</v>
      </c>
      <c r="Q66" s="42"/>
    </row>
    <row r="67" spans="1:17" ht="15" customHeight="1">
      <c r="A67" s="42" t="s">
        <v>84</v>
      </c>
      <c r="I67" s="184"/>
      <c r="J67" s="42"/>
      <c r="K67" s="42"/>
      <c r="L67" s="42"/>
      <c r="M67" s="42"/>
      <c r="N67" s="42"/>
      <c r="O67" s="42" t="s">
        <v>122</v>
      </c>
      <c r="Q67" s="42"/>
    </row>
    <row r="68" spans="1:17" ht="15" customHeight="1">
      <c r="I68" s="42"/>
      <c r="J68" s="42"/>
      <c r="K68" s="42"/>
      <c r="L68" s="42"/>
      <c r="M68" s="42"/>
      <c r="N68" s="42"/>
      <c r="O68" s="42"/>
      <c r="Q68" s="42"/>
    </row>
    <row r="69" spans="1:17" ht="15" customHeight="1">
      <c r="I69" s="105">
        <f>IF(Hulpblad!B80=FALSE,0,VLOOKUP(Hulpblad!C21,Hulpblad!$C$382:$I$426,5,FALSE))</f>
        <v>0</v>
      </c>
      <c r="J69" s="42"/>
      <c r="K69" s="42"/>
      <c r="L69" s="42"/>
      <c r="M69" s="42"/>
      <c r="N69" s="42"/>
      <c r="O69" s="105">
        <f>M30*I69</f>
        <v>0</v>
      </c>
      <c r="Q69" s="74"/>
    </row>
    <row r="70" spans="1:17" ht="15" customHeight="1">
      <c r="I70" s="123"/>
      <c r="J70" s="42"/>
      <c r="K70" s="42"/>
      <c r="L70" s="42"/>
      <c r="M70" s="42"/>
      <c r="N70" s="42"/>
      <c r="O70" s="123"/>
      <c r="Q70" s="74"/>
    </row>
    <row r="71" spans="1:17" ht="15" customHeight="1">
      <c r="I71" s="105">
        <f>IF(Hulpblad!B81=FALSE,0,VLOOKUP(Hulpblad!C32,Hulpblad!$C$382:$I$426,5,FALSE))</f>
        <v>0</v>
      </c>
      <c r="J71" s="42"/>
      <c r="K71" s="42"/>
      <c r="L71" s="42"/>
      <c r="M71" s="42"/>
      <c r="N71" s="42"/>
      <c r="O71" s="105">
        <f>M36*I71</f>
        <v>0</v>
      </c>
      <c r="Q71" s="74"/>
    </row>
    <row r="72" spans="1:17" ht="15" customHeight="1">
      <c r="I72" s="123"/>
      <c r="J72" s="42"/>
      <c r="K72" s="42"/>
      <c r="L72" s="42"/>
      <c r="M72" s="42"/>
      <c r="N72" s="42"/>
      <c r="O72" s="123"/>
      <c r="Q72" s="42"/>
    </row>
    <row r="73" spans="1:17" ht="15" customHeight="1">
      <c r="I73" s="105">
        <f>IF(Hulpblad!B82=FALSE,0,VLOOKUP(Hulpblad!C43,Hulpblad!$C$382:$I$426,5,FALSE))</f>
        <v>0</v>
      </c>
      <c r="J73" s="42"/>
      <c r="K73" s="42"/>
      <c r="L73" s="42"/>
      <c r="M73" s="42"/>
      <c r="N73" s="42"/>
      <c r="O73" s="105">
        <f>M42*I73</f>
        <v>0</v>
      </c>
      <c r="Q73" s="74"/>
    </row>
    <row r="74" spans="1:17" ht="15" customHeight="1">
      <c r="I74" s="123"/>
      <c r="J74" s="42"/>
      <c r="K74" s="42"/>
      <c r="L74" s="42"/>
      <c r="M74" s="42"/>
      <c r="N74" s="42"/>
      <c r="O74" s="123"/>
      <c r="Q74" s="42"/>
    </row>
    <row r="75" spans="1:17" ht="15" customHeight="1">
      <c r="I75" s="105">
        <f>IF(Hulpblad!B83=FALSE,0,VLOOKUP(Hulpblad!C54,Hulpblad!$C$382:$I$426,5,FALSE))</f>
        <v>0</v>
      </c>
      <c r="J75" s="42"/>
      <c r="K75" s="42"/>
      <c r="L75" s="42"/>
      <c r="M75" s="42"/>
      <c r="N75" s="42"/>
      <c r="O75" s="105">
        <f>M48*I75</f>
        <v>0</v>
      </c>
      <c r="Q75" s="74"/>
    </row>
    <row r="76" spans="1:17" ht="15" customHeight="1">
      <c r="I76" s="123"/>
      <c r="J76" s="42"/>
      <c r="K76" s="42"/>
      <c r="L76" s="42"/>
      <c r="M76" s="42"/>
      <c r="N76" s="42"/>
      <c r="O76" s="123"/>
      <c r="Q76" s="42"/>
    </row>
    <row r="77" spans="1:17" ht="15" customHeight="1">
      <c r="A77" s="13"/>
      <c r="I77" s="105">
        <f>IF(Hulpblad!B84=FALSE,0,VLOOKUP(Hulpblad!C65,Hulpblad!$C$382:$I$426,5,FALSE))</f>
        <v>0</v>
      </c>
      <c r="J77" s="42"/>
      <c r="K77" s="42"/>
      <c r="L77" s="42"/>
      <c r="M77" s="42"/>
      <c r="N77" s="42"/>
      <c r="O77" s="105">
        <f>M54*I77</f>
        <v>0</v>
      </c>
      <c r="Q77" s="74"/>
    </row>
    <row r="78" spans="1:17" ht="15" customHeight="1">
      <c r="A78" s="13"/>
      <c r="I78" s="123"/>
      <c r="J78" s="42"/>
      <c r="K78" s="42"/>
      <c r="L78" s="42"/>
      <c r="M78" s="42"/>
      <c r="N78" s="42"/>
      <c r="O78" s="123"/>
      <c r="Q78" s="74"/>
    </row>
    <row r="79" spans="1:17" ht="15" customHeight="1">
      <c r="A79" s="13"/>
      <c r="I79" s="124">
        <f>IF(Hulpblad!B85=FALSE,0,VLOOKUP(Hulpblad!C76,Hulpblad!$C$382:$I$426,5,FALSE))</f>
        <v>0</v>
      </c>
      <c r="O79" s="124">
        <f>M60*I79</f>
        <v>0</v>
      </c>
      <c r="Q79" s="74"/>
    </row>
    <row r="80" spans="1:17" ht="15" customHeight="1">
      <c r="A80" s="13"/>
      <c r="O80" s="127"/>
      <c r="Q80" s="42"/>
    </row>
    <row r="81" spans="1:17" ht="15" customHeight="1">
      <c r="A81" s="13"/>
      <c r="Q81" s="136"/>
    </row>
    <row r="82" spans="1:17">
      <c r="A82" s="43" t="s">
        <v>71</v>
      </c>
      <c r="D82" s="14"/>
      <c r="E82" s="14"/>
      <c r="F82" s="14"/>
      <c r="G82" s="14"/>
      <c r="H82" s="14"/>
      <c r="I82" s="14"/>
      <c r="J82" s="14"/>
      <c r="Q82" s="42"/>
    </row>
    <row r="83" spans="1:17" ht="15" customHeight="1">
      <c r="D83" s="14"/>
      <c r="F83" s="14"/>
      <c r="H83" s="14"/>
      <c r="J83" s="14"/>
      <c r="Q83" s="42"/>
    </row>
    <row r="84" spans="1:17" ht="66.75">
      <c r="A84" s="44" t="s">
        <v>70</v>
      </c>
      <c r="D84" s="14"/>
      <c r="E84" s="137" t="s">
        <v>276</v>
      </c>
      <c r="F84" s="14"/>
      <c r="G84" s="60" t="s">
        <v>123</v>
      </c>
      <c r="H84" s="14"/>
      <c r="I84" s="60" t="s">
        <v>118</v>
      </c>
      <c r="J84" s="61"/>
      <c r="K84" s="62" t="s">
        <v>119</v>
      </c>
      <c r="L84" s="42"/>
      <c r="M84" s="60" t="s">
        <v>124</v>
      </c>
      <c r="N84" s="42"/>
      <c r="O84" s="60" t="s">
        <v>121</v>
      </c>
      <c r="Q84" s="42"/>
    </row>
    <row r="85" spans="1:17">
      <c r="D85" s="14"/>
      <c r="E85" s="14"/>
      <c r="F85" s="14"/>
      <c r="G85" s="14"/>
      <c r="H85" s="14"/>
      <c r="I85" s="61"/>
      <c r="J85" s="61"/>
      <c r="K85" s="42"/>
      <c r="L85" s="42"/>
      <c r="M85" s="42"/>
      <c r="N85" s="42"/>
      <c r="O85" s="42"/>
      <c r="Q85" s="42"/>
    </row>
    <row r="86" spans="1:17">
      <c r="D86" s="14"/>
      <c r="E86" s="14"/>
      <c r="F86" s="14"/>
      <c r="G86" s="14"/>
      <c r="H86" s="14"/>
      <c r="I86" s="61"/>
      <c r="J86" s="61"/>
      <c r="K86" s="42"/>
      <c r="L86" s="42"/>
      <c r="M86" s="42"/>
      <c r="N86" s="42"/>
      <c r="O86" s="42"/>
      <c r="Q86" s="42"/>
    </row>
    <row r="87" spans="1:17">
      <c r="A87" s="42" t="str">
        <f>Hulpblad!B165</f>
        <v>Niet van toepassing</v>
      </c>
      <c r="D87" s="14"/>
      <c r="F87" s="14"/>
      <c r="G87" s="175" t="str">
        <f>IF(Hulpblad!B89=1,"","Bij uitvoering vóór 2025 geldt 8 - 45 
Bij uitvoering (ook) in 2025-2026 geldt 3 - 45")</f>
        <v/>
      </c>
      <c r="H87" s="14"/>
      <c r="I87" s="53">
        <f>IF(A87="Niet van toepassing",0,VLOOKUP(Hulpblad!C100,Hulpblad!C335:I380,7,FALSE))</f>
        <v>0</v>
      </c>
      <c r="J87" s="61"/>
      <c r="K87" s="63"/>
      <c r="L87" s="42"/>
      <c r="M87" s="55">
        <f>IF(AND(I87&gt;0,K87&gt;0),MIN(45-M89-M92-M94-M102-M104-M109-M112-M114,K87),0)</f>
        <v>0</v>
      </c>
      <c r="N87" s="42"/>
      <c r="O87" s="56">
        <f>I87*M87</f>
        <v>0</v>
      </c>
      <c r="P87" s="14"/>
      <c r="Q87" s="139" t="str">
        <f>IF(Hulpblad!$C$89="Geen glasisolatie","",
IF(AND(Hulpblad!B94=2,Hulpblad!C96=FALSE,Hulpblad!C97=FALSE),"Vul in wanneer het isolerende glas is aangebracht",
IF(AND(Hulpblad!B94=2,Hulpblad!D96="Vóór 2025 én ≤ 24 maanden geleden",K87=0),"Vul in de blauwe cel het aantal m² te isoleren oppervlak in","")))</f>
        <v/>
      </c>
    </row>
    <row r="88" spans="1:17">
      <c r="D88" s="14"/>
      <c r="E88" s="14"/>
      <c r="F88" s="14"/>
      <c r="G88" s="176"/>
      <c r="H88" s="14"/>
      <c r="I88" s="58"/>
      <c r="J88" s="61"/>
      <c r="K88" s="81"/>
      <c r="L88" s="42"/>
      <c r="M88" s="42"/>
      <c r="N88" s="42"/>
      <c r="O88" s="59"/>
      <c r="P88" s="14"/>
      <c r="Q88" s="139"/>
    </row>
    <row r="89" spans="1:17">
      <c r="D89" s="14"/>
      <c r="E89" s="14"/>
      <c r="F89" s="14"/>
      <c r="G89" s="176"/>
      <c r="H89" s="14"/>
      <c r="I89" s="53">
        <f>IF(A87="Niet van toepassing",0,VLOOKUP(Hulpblad!C101,Hulpblad!C335:I380,7,FALSE))</f>
        <v>0</v>
      </c>
      <c r="J89" s="61"/>
      <c r="K89" s="63"/>
      <c r="L89" s="42"/>
      <c r="M89" s="55">
        <f>IF(AND(I89&gt;0,K89&gt;0),MIN(45-M92-M94-M102-M104-M112-M114,K89),0)</f>
        <v>0</v>
      </c>
      <c r="N89" s="42"/>
      <c r="O89" s="56">
        <f>I89*M89</f>
        <v>0</v>
      </c>
      <c r="P89" s="14"/>
      <c r="Q89" s="139" t="str">
        <f>IF(Hulpblad!$C$89="Geen glasisolatie","",
IF(AND(Hulpblad!B94=2,Hulpblad!C96=FALSE,Hulpblad!C97=FALSE),"Vul in wanneer het isolerende glas is aangebracht",
IF(AND(Hulpblad!B94=2,Hulpblad!D97=2025,K89=0),"Vul in de blauwe cel het aantal m² te isoleren oppervlak in","")))</f>
        <v/>
      </c>
    </row>
    <row r="90" spans="1:17">
      <c r="D90" s="14"/>
      <c r="E90" s="14"/>
      <c r="F90" s="14"/>
      <c r="G90" s="176"/>
      <c r="H90" s="14"/>
      <c r="I90" s="58"/>
      <c r="J90" s="61"/>
      <c r="K90" s="140"/>
      <c r="L90" s="42"/>
      <c r="M90" s="42"/>
      <c r="N90" s="42"/>
      <c r="O90" s="59"/>
      <c r="P90" s="14"/>
      <c r="Q90" s="139"/>
    </row>
    <row r="91" spans="1:17" ht="15" customHeight="1">
      <c r="D91" s="14"/>
      <c r="E91" s="14"/>
      <c r="F91" s="14"/>
      <c r="G91" s="176"/>
      <c r="H91" s="14"/>
      <c r="I91" s="61"/>
      <c r="J91" s="61"/>
      <c r="K91" s="42"/>
      <c r="L91" s="42"/>
      <c r="M91" s="42"/>
      <c r="N91" s="42"/>
      <c r="O91" s="42"/>
      <c r="P91" s="14"/>
      <c r="Q91" s="139"/>
    </row>
    <row r="92" spans="1:17" ht="15" customHeight="1">
      <c r="A92" s="42" t="str">
        <f>Hulpblad!B166</f>
        <v>Niet van toepassing</v>
      </c>
      <c r="D92" s="14"/>
      <c r="E92" s="14"/>
      <c r="F92" s="14"/>
      <c r="G92" s="176"/>
      <c r="H92" s="14"/>
      <c r="I92" s="53">
        <f>IF(A92="Niet van toepassing",0,VLOOKUP(Hulpblad!C112,Hulpblad!C335:I380,7,FALSE))</f>
        <v>0</v>
      </c>
      <c r="J92" s="61"/>
      <c r="K92" s="63"/>
      <c r="L92" s="42"/>
      <c r="M92" s="55">
        <f>IF(AND(I92&gt;0,K92&gt;0),MIN(45-M94-M114,K92),0)</f>
        <v>0</v>
      </c>
      <c r="N92" s="42"/>
      <c r="O92" s="56">
        <f>I92*M92</f>
        <v>0</v>
      </c>
      <c r="P92" s="14"/>
      <c r="Q92" s="139" t="str">
        <f>IF(Hulpblad!$C$89="Geen glasisolatie","",
IF(AND(Hulpblad!B106=2,Hulpblad!C108=FALSE,Hulpblad!C109=FALSE),"Vul in wanneer het isolerende glas is aangebracht",
IF(AND(Hulpblad!B106=2,Hulpblad!D108="Vóór 2025 én ≤ 24 maanden geleden",K92=0),"Vul in de blauwe cel het aantal m² te isoleren oppervlak in","")))</f>
        <v/>
      </c>
    </row>
    <row r="93" spans="1:17" ht="15" customHeight="1">
      <c r="D93" s="14"/>
      <c r="E93" s="14"/>
      <c r="F93" s="14"/>
      <c r="G93" s="176"/>
      <c r="H93" s="14"/>
      <c r="I93" s="61"/>
      <c r="J93" s="61"/>
      <c r="K93" s="42"/>
      <c r="L93" s="42"/>
      <c r="M93" s="42"/>
      <c r="N93" s="42"/>
      <c r="O93" s="42"/>
      <c r="P93" s="14"/>
      <c r="Q93" s="139"/>
    </row>
    <row r="94" spans="1:17">
      <c r="D94" s="14"/>
      <c r="E94" s="14"/>
      <c r="F94" s="14"/>
      <c r="G94" s="176"/>
      <c r="H94" s="14"/>
      <c r="I94" s="53">
        <f>IF(A92="Niet van toepassing",0,VLOOKUP(Hulpblad!C113,Hulpblad!C335:I380,7,FALSE))</f>
        <v>0</v>
      </c>
      <c r="J94" s="61"/>
      <c r="K94" s="63"/>
      <c r="L94" s="42"/>
      <c r="M94" s="55">
        <f>IF(AND(I94&gt;0,K94&gt;0),MIN(45,K94),0)</f>
        <v>0</v>
      </c>
      <c r="N94" s="42"/>
      <c r="O94" s="56">
        <f>I94*M94</f>
        <v>0</v>
      </c>
      <c r="P94" s="14"/>
      <c r="Q94" s="139" t="str">
        <f>IF(Hulpblad!$C$89="Geen glasisolatie","",
IF(AND(Hulpblad!B106=2,Hulpblad!C108=FALSE,Hulpblad!C109=FALSE),"Vul in wanneer het isolerende glas is aangebracht",
IF(AND(Hulpblad!B106=2,Hulpblad!D109=2025,K94=0),"Vul in de blauwe cel het aantal m² te isoleren oppervlak in","")))</f>
        <v/>
      </c>
    </row>
    <row r="95" spans="1:17">
      <c r="D95" s="14"/>
      <c r="E95" s="14"/>
      <c r="F95" s="14"/>
      <c r="G95" s="176"/>
      <c r="H95" s="14"/>
      <c r="I95" s="58"/>
      <c r="J95" s="61"/>
      <c r="K95" s="140"/>
      <c r="L95" s="42"/>
      <c r="M95" s="42"/>
      <c r="N95" s="42"/>
      <c r="O95" s="59"/>
      <c r="P95" s="14"/>
      <c r="Q95" s="139"/>
    </row>
    <row r="96" spans="1:17" ht="15" customHeight="1">
      <c r="D96" s="14"/>
      <c r="E96" s="14"/>
      <c r="F96" s="14"/>
      <c r="G96" s="176"/>
      <c r="H96" s="14"/>
      <c r="I96" s="61"/>
      <c r="J96" s="61"/>
      <c r="K96" s="42"/>
      <c r="L96" s="42"/>
      <c r="M96" s="42"/>
      <c r="N96" s="42"/>
      <c r="O96" s="42"/>
      <c r="P96" s="14"/>
      <c r="Q96" s="42"/>
    </row>
    <row r="97" spans="1:17" ht="15" customHeight="1">
      <c r="A97" s="163" t="str">
        <f>Hulpblad!B167</f>
        <v>Niet van toepassing</v>
      </c>
      <c r="D97" s="14"/>
      <c r="E97" s="14"/>
      <c r="F97" s="14"/>
      <c r="G97" s="176"/>
      <c r="H97" s="14"/>
      <c r="I97" s="53">
        <f>IF(A97="Niet van toepassing",0,VLOOKUP(Hulpblad!C124,Hulpblad!C335:I380,7,FALSE))</f>
        <v>0</v>
      </c>
      <c r="J97" s="61"/>
      <c r="K97" s="63"/>
      <c r="L97" s="42"/>
      <c r="M97" s="55">
        <f>IF(AND(I97&gt;0,K97&gt;0),MIN(45-M87-M89-M92-M94-M99-M102-M104-M107-M109-M112-M114,K97),0)</f>
        <v>0</v>
      </c>
      <c r="N97" s="42"/>
      <c r="O97" s="56">
        <f>I97*M97</f>
        <v>0</v>
      </c>
      <c r="P97" s="14"/>
      <c r="Q97" s="139" t="str">
        <f>IF(A97="Niet van toepassing","",
IF(AND(Hulpblad!B118=2,Hulpblad!C120=FALSE,Hulpblad!C121=FALSE),"Vul in wanneer de isolerende panelen zijn aangebracht",
IF(AND(Hulpblad!B118=2,Hulpblad!D120="Vóór 2025 én ≤ 24 maanden geleden",K97=0),"Vul in de blauwe cel het aantal m² te isoleren oppervlak in","")))</f>
        <v/>
      </c>
    </row>
    <row r="98" spans="1:17" ht="15" customHeight="1">
      <c r="A98" s="169"/>
      <c r="D98" s="14"/>
      <c r="E98" s="14"/>
      <c r="F98" s="14"/>
      <c r="G98" s="176"/>
      <c r="H98" s="14"/>
      <c r="I98" s="61"/>
      <c r="J98" s="61"/>
      <c r="K98" s="42"/>
      <c r="L98" s="42"/>
      <c r="M98" s="42"/>
      <c r="N98" s="42"/>
      <c r="O98" s="42"/>
      <c r="P98" s="14"/>
      <c r="Q98" s="139"/>
    </row>
    <row r="99" spans="1:17">
      <c r="D99" s="14"/>
      <c r="E99" s="14"/>
      <c r="F99" s="14"/>
      <c r="G99" s="176"/>
      <c r="H99" s="14"/>
      <c r="I99" s="53">
        <f>IF(A97="Niet van toepassing",0,VLOOKUP(Hulpblad!C125,Hulpblad!C335:I380,7,FALSE))</f>
        <v>0</v>
      </c>
      <c r="J99" s="61"/>
      <c r="K99" s="63"/>
      <c r="L99" s="42"/>
      <c r="M99" s="55">
        <f>IF(AND(I99&gt;0,K99&gt;0),MIN(45-M87-M89-M92-M94-M102-M104-M107-M109-M112-M114,K99),0)</f>
        <v>0</v>
      </c>
      <c r="N99" s="42"/>
      <c r="O99" s="56">
        <f>I99*M99</f>
        <v>0</v>
      </c>
      <c r="P99" s="14"/>
      <c r="Q99" s="74" t="str">
        <f>IF(A97="Niet van toepassing","",
IF(AND(Hulpblad!B118=2,Hulpblad!C120=FALSE,Hulpblad!C121=FALSE),"Vul in wanneer de isolerende panelen zijn aangebracht",
IF(AND(Hulpblad!B118=2,Hulpblad!D121=2025,K99=0),"Vul in de blauwe cel het aantal m² te isoleren oppervlak in","")))</f>
        <v/>
      </c>
    </row>
    <row r="100" spans="1:17">
      <c r="D100" s="14"/>
      <c r="E100" s="14"/>
      <c r="F100" s="14"/>
      <c r="G100" s="176"/>
      <c r="H100" s="14"/>
      <c r="I100" s="42"/>
      <c r="J100" s="42"/>
      <c r="K100" s="42"/>
      <c r="L100" s="42"/>
      <c r="M100" s="42"/>
      <c r="N100" s="42"/>
      <c r="O100" s="42"/>
      <c r="P100" s="14"/>
      <c r="Q100" s="42"/>
    </row>
    <row r="101" spans="1:17" ht="15" customHeight="1">
      <c r="D101" s="14"/>
      <c r="E101" s="14"/>
      <c r="F101" s="14"/>
      <c r="G101" s="176"/>
      <c r="H101" s="14"/>
      <c r="I101" s="61"/>
      <c r="J101" s="61"/>
      <c r="K101" s="42"/>
      <c r="L101" s="42"/>
      <c r="M101" s="42"/>
      <c r="N101" s="42"/>
      <c r="O101" s="42"/>
      <c r="P101" s="14"/>
      <c r="Q101" s="42"/>
    </row>
    <row r="102" spans="1:17" ht="15" customHeight="1">
      <c r="A102" s="163" t="str">
        <f>Hulpblad!B168</f>
        <v>Niet van toepassing</v>
      </c>
      <c r="D102" s="14"/>
      <c r="E102" s="14"/>
      <c r="F102" s="14"/>
      <c r="G102" s="176"/>
      <c r="H102" s="14"/>
      <c r="I102" s="53">
        <f>IF(A102="Niet van toepassing",0,VLOOKUP(Hulpblad!C136,Hulpblad!C335:I380,7,FALSE))</f>
        <v>0</v>
      </c>
      <c r="J102" s="61"/>
      <c r="K102" s="63"/>
      <c r="L102" s="42"/>
      <c r="M102" s="55">
        <f>IF(AND(I102&gt;0,K102&gt;0),MIN(45-M92-M94-M104-M112-M114,K102),0)</f>
        <v>0</v>
      </c>
      <c r="N102" s="42"/>
      <c r="O102" s="56">
        <f>I102*M102</f>
        <v>0</v>
      </c>
      <c r="P102" s="14"/>
      <c r="Q102" s="74" t="str">
        <f>IF(A102="Niet van toepassing","",
IF(AND(Hulpblad!B130=2,Hulpblad!C132=FALSE,Hulpblad!C133=FALSE),"Vul in wanneer de isolerende panelen zijn aangebracht",
IF(AND(Hulpblad!B130=2,Hulpblad!D132="Vóór 2025 én ≤ 24 maanden geleden",K102=0),"Vul in de blauwe cel het aantal m² te isoleren oppervlak in","")))</f>
        <v/>
      </c>
    </row>
    <row r="103" spans="1:17" ht="15" customHeight="1">
      <c r="A103" s="163"/>
      <c r="D103" s="14"/>
      <c r="E103" s="14"/>
      <c r="F103" s="14"/>
      <c r="G103" s="176"/>
      <c r="H103" s="14"/>
      <c r="I103" s="61"/>
      <c r="J103" s="61"/>
      <c r="K103" s="42"/>
      <c r="L103" s="42"/>
      <c r="M103" s="42"/>
      <c r="N103" s="42"/>
      <c r="O103" s="42"/>
      <c r="P103" s="14"/>
      <c r="Q103" s="139"/>
    </row>
    <row r="104" spans="1:17">
      <c r="D104" s="14"/>
      <c r="E104" s="14"/>
      <c r="F104" s="14"/>
      <c r="G104" s="176"/>
      <c r="H104" s="14"/>
      <c r="I104" s="53">
        <f>IF(A102="Niet van toepassing",0,VLOOKUP(Hulpblad!C137,Hulpblad!C335:I380,7,FALSE))</f>
        <v>0</v>
      </c>
      <c r="J104" s="61"/>
      <c r="K104" s="63"/>
      <c r="L104" s="42"/>
      <c r="M104" s="55">
        <f>IF(AND(I104&gt;0,K104&gt;0),MIN(45-M92-M94-M112-M114,K104),0)</f>
        <v>0</v>
      </c>
      <c r="N104" s="42"/>
      <c r="O104" s="56">
        <f>I104*M104</f>
        <v>0</v>
      </c>
      <c r="P104" s="14"/>
      <c r="Q104" s="139" t="str">
        <f>IF(A102="Niet van toepassing","",
IF(AND(Hulpblad!B130=2,Hulpblad!C132=FALSE,Hulpblad!C133=FALSE),"Vul in wanneer de isolerende panelen zijn aangebracht",
IF(AND(Hulpblad!B130=2,Hulpblad!D133=2025,K104=0),"Vul in de blauwe cel het aantal m² te isoleren oppervlak in","")))</f>
        <v/>
      </c>
    </row>
    <row r="105" spans="1:17" ht="15" customHeight="1">
      <c r="D105" s="14"/>
      <c r="E105" s="14"/>
      <c r="F105" s="14"/>
      <c r="G105" s="176"/>
      <c r="H105" s="14"/>
      <c r="I105" s="61"/>
      <c r="J105" s="61"/>
      <c r="K105" s="42"/>
      <c r="L105" s="42"/>
      <c r="M105" s="42"/>
      <c r="N105" s="42"/>
      <c r="O105" s="42"/>
      <c r="P105" s="14"/>
      <c r="Q105" s="42"/>
    </row>
    <row r="106" spans="1:17" ht="15" customHeight="1">
      <c r="D106" s="14"/>
      <c r="E106" s="14"/>
      <c r="F106" s="14"/>
      <c r="G106" s="176"/>
      <c r="H106" s="14"/>
      <c r="I106" s="61"/>
      <c r="J106" s="61"/>
      <c r="K106" s="42"/>
      <c r="L106" s="42"/>
      <c r="M106" s="42"/>
      <c r="N106" s="42"/>
      <c r="O106" s="42"/>
      <c r="P106" s="14"/>
      <c r="Q106" s="42"/>
    </row>
    <row r="107" spans="1:17" ht="15" customHeight="1">
      <c r="A107" s="163" t="str">
        <f>Hulpblad!B169</f>
        <v>Niet van toepassing</v>
      </c>
      <c r="D107" s="14"/>
      <c r="E107" s="14"/>
      <c r="F107" s="14"/>
      <c r="G107" s="176"/>
      <c r="H107" s="14"/>
      <c r="I107" s="53">
        <f>IF(A107="Niet van toepassing",0,VLOOKUP(Hulpblad!C148,Hulpblad!C335:I380,7,FALSE))</f>
        <v>0</v>
      </c>
      <c r="J107" s="61"/>
      <c r="K107" s="63"/>
      <c r="L107" s="42"/>
      <c r="M107" s="55">
        <f>IF(AND(I107&gt;0,K107&gt;0),MIN(45-M87-M89-M92-M94-M102-M104-M109-M112-M114,K107),0)</f>
        <v>0</v>
      </c>
      <c r="N107" s="42"/>
      <c r="O107" s="56">
        <f>I107*M107</f>
        <v>0</v>
      </c>
      <c r="P107" s="14"/>
      <c r="Q107" s="139" t="str">
        <f>IF(A107="Niet van toepassing","",
IF(AND(Hulpblad!B142=2,Hulpblad!C144=FALSE,Hulpblad!C145=FALSE),"Vul in wanneer de isolerende deuren zijn aangebracht",
IF(AND(Hulpblad!B142=2,Hulpblad!D144="Vóór 2025 én ≤ 24 maanden geleden",K107=0),"Vul in de blauwe cel het aantal m² te isoleren oppervlak in","")))</f>
        <v/>
      </c>
    </row>
    <row r="108" spans="1:17" ht="15" customHeight="1">
      <c r="A108" s="163"/>
      <c r="D108" s="14"/>
      <c r="E108" s="14"/>
      <c r="F108" s="14"/>
      <c r="G108" s="176"/>
      <c r="H108" s="14"/>
      <c r="I108" s="61"/>
      <c r="J108" s="61"/>
      <c r="K108" s="42"/>
      <c r="L108" s="42"/>
      <c r="M108" s="42"/>
      <c r="N108" s="42"/>
      <c r="O108" s="42"/>
      <c r="P108" s="14"/>
      <c r="Q108" s="139"/>
    </row>
    <row r="109" spans="1:17">
      <c r="D109" s="14"/>
      <c r="E109" s="14"/>
      <c r="F109" s="14"/>
      <c r="G109" s="176"/>
      <c r="H109" s="14"/>
      <c r="I109" s="53">
        <f>IF(A107="Niet van toepassing",0,VLOOKUP(Hulpblad!C149,Hulpblad!C335:I380,7,FALSE))</f>
        <v>0</v>
      </c>
      <c r="J109" s="61"/>
      <c r="K109" s="63"/>
      <c r="L109" s="42"/>
      <c r="M109" s="55">
        <f>IF(AND(I109&gt;0,K109&gt;0),MIN(45-M89-M92-M94-M102-M104-M112-M114,K109),0)</f>
        <v>0</v>
      </c>
      <c r="N109" s="42"/>
      <c r="O109" s="56">
        <f>I109*M109</f>
        <v>0</v>
      </c>
      <c r="P109" s="14"/>
      <c r="Q109" s="74" t="str">
        <f>IF(A107="Niet van toepassing","",
IF(AND(Hulpblad!B142=2,Hulpblad!C144=FALSE,Hulpblad!C145=FALSE),"Vul in wanneer de isolerende deuren zijn aangebracht",
IF(AND(Hulpblad!B142=2,Hulpblad!D145=2025,K109=0),"Vul in de blauwe cel het aantal m² te isoleren oppervlak in","")))</f>
        <v/>
      </c>
    </row>
    <row r="110" spans="1:17" ht="15" customHeight="1">
      <c r="D110" s="14"/>
      <c r="E110" s="14"/>
      <c r="F110" s="14"/>
      <c r="G110" s="176"/>
      <c r="H110" s="14"/>
      <c r="I110" s="61"/>
      <c r="J110" s="61"/>
      <c r="K110" s="42"/>
      <c r="L110" s="42"/>
      <c r="M110" s="42"/>
      <c r="N110" s="42"/>
      <c r="O110" s="42"/>
      <c r="P110" s="14"/>
      <c r="Q110" s="42"/>
    </row>
    <row r="111" spans="1:17" ht="15" customHeight="1">
      <c r="D111" s="14"/>
      <c r="E111" s="14"/>
      <c r="F111" s="14"/>
      <c r="G111" s="176"/>
      <c r="H111" s="14"/>
      <c r="I111" s="61"/>
      <c r="J111" s="61"/>
      <c r="K111" s="42"/>
      <c r="L111" s="42"/>
      <c r="M111" s="42"/>
      <c r="N111" s="42"/>
      <c r="O111" s="42"/>
      <c r="P111" s="14"/>
      <c r="Q111" s="42"/>
    </row>
    <row r="112" spans="1:17" ht="15" customHeight="1">
      <c r="A112" s="163" t="str">
        <f>Hulpblad!B170</f>
        <v>Niet van toepassing</v>
      </c>
      <c r="D112" s="14"/>
      <c r="E112" s="14"/>
      <c r="F112" s="14"/>
      <c r="G112" s="176"/>
      <c r="H112" s="14"/>
      <c r="I112" s="53">
        <f>IF(A112="Niet van toepassing",0,VLOOKUP(Hulpblad!C160,Hulpblad!C335:I380,7,FALSE))</f>
        <v>0</v>
      </c>
      <c r="J112" s="42"/>
      <c r="K112" s="63"/>
      <c r="L112" s="42"/>
      <c r="M112" s="55">
        <f>IF(AND(I112&gt;0,K112&gt;0),MIN(45-M92-M94-M114,K112),0)</f>
        <v>0</v>
      </c>
      <c r="N112" s="42"/>
      <c r="O112" s="56">
        <f>I112*M112</f>
        <v>0</v>
      </c>
      <c r="P112" s="14"/>
      <c r="Q112" s="139" t="str">
        <f>IF(A112="Niet van toepassing","",
IF(AND(Hulpblad!B154=2,Hulpblad!C156=FALSE,Hulpblad!C157=FALSE),"Vul in wanneer de isolerende deuren zijn aangebracht",
IF(AND(Hulpblad!B154=2,Hulpblad!D156="Vóór 2025 én ≤ 24 maanden geleden",K112=0),"Vul in de blauwe cel het aantal m² te isoleren oppervlak in","")))</f>
        <v/>
      </c>
    </row>
    <row r="113" spans="1:17" ht="15" customHeight="1">
      <c r="A113" s="163"/>
      <c r="D113" s="14"/>
      <c r="E113" s="14"/>
      <c r="F113" s="14"/>
      <c r="G113" s="176"/>
      <c r="H113" s="14"/>
      <c r="I113" s="61"/>
      <c r="J113" s="61"/>
      <c r="K113" s="42"/>
      <c r="L113" s="42"/>
      <c r="M113" s="42"/>
      <c r="N113" s="42"/>
      <c r="O113" s="42"/>
      <c r="P113" s="14"/>
      <c r="Q113" s="139"/>
    </row>
    <row r="114" spans="1:17" ht="15" customHeight="1">
      <c r="D114" s="14"/>
      <c r="E114" s="14"/>
      <c r="F114" s="14"/>
      <c r="G114" s="177"/>
      <c r="H114" s="14"/>
      <c r="I114" s="53">
        <f>IF(A112="Niet van toepassing",0,VLOOKUP(Hulpblad!C161,Hulpblad!C338:I382,7,FALSE))</f>
        <v>0</v>
      </c>
      <c r="J114" s="42"/>
      <c r="K114" s="63"/>
      <c r="L114" s="42"/>
      <c r="M114" s="55">
        <f>IF(AND(I114&gt;0,K114&gt;0),MIN(45-M94,K114),0)</f>
        <v>0</v>
      </c>
      <c r="N114" s="42"/>
      <c r="O114" s="56">
        <f>I114*M114</f>
        <v>0</v>
      </c>
      <c r="P114" s="14"/>
      <c r="Q114" s="75" t="str">
        <f>IF(A112="Niet van toepassing","",
IF(AND(Hulpblad!B154=2,Hulpblad!C156=FALSE,Hulpblad!C157=FALSE),"Vul in wanneer de isolerende deuren zijn aangebracht",
IF(AND(Hulpblad!B154=2,Hulpblad!D157=2025,K114=0),"Vul in de blauwe cel het aantal m² te isoleren oppervlak in","")))</f>
        <v/>
      </c>
    </row>
    <row r="115" spans="1:17">
      <c r="E115" s="14"/>
      <c r="G115" s="104"/>
      <c r="I115" s="42"/>
      <c r="J115" s="42"/>
      <c r="K115" s="42"/>
      <c r="L115" s="42"/>
      <c r="M115" s="42"/>
      <c r="N115" s="42"/>
      <c r="O115" s="42"/>
      <c r="Q115" s="42"/>
    </row>
    <row r="116" spans="1:17" ht="15.75">
      <c r="H116" s="15"/>
      <c r="I116" s="64" t="s">
        <v>125</v>
      </c>
      <c r="J116" s="65"/>
      <c r="K116" s="55">
        <f>SUM(K87:K114)</f>
        <v>0</v>
      </c>
      <c r="L116" s="42"/>
      <c r="M116" s="55">
        <f>IF(K116&gt;=8,SUM(M87:M114),
IF(K116&lt;3,0,
IF(AND(K116&lt;8,OR(M89&gt;0,M94&gt;0,M99&gt;0,M104&gt;0,M109&gt;0,M114&gt;0)),SUM(M87:M114),0)))</f>
        <v>0</v>
      </c>
      <c r="N116" s="42"/>
      <c r="O116" s="42"/>
      <c r="Q116" s="182" t="str">
        <f>IF(AND(M116&lt;45,M116&gt;8),"",IF(AND(K116&gt;45,M116=45),"Er komt maximaal 45 m²  oppervlak aan glas, panelen en deuren in aanmerking voor subsidie! Het aantal m²  is per maatregel afgetopt van hoog naar laag bedrag per m²!",
IF(AND(M116=0,Hulpblad!C89="HR++ glas, U ≤ 1,2 W/m2K en/of Triple glas, U ≤ 0,7 W/m2K"),"Er is te weinig subsidiabel oppervlak aan glas, panelen en deuren om in aanmerking te komen voor subsidie!","")))</f>
        <v/>
      </c>
    </row>
    <row r="117" spans="1:17" ht="15" customHeight="1">
      <c r="I117" s="42"/>
      <c r="J117" s="42"/>
      <c r="K117" s="42"/>
      <c r="L117" s="42"/>
      <c r="M117" s="42"/>
      <c r="N117" s="42"/>
      <c r="O117" s="42"/>
      <c r="Q117" s="169"/>
    </row>
    <row r="118" spans="1:17">
      <c r="H118" s="15"/>
      <c r="I118" s="66"/>
      <c r="J118" s="65"/>
      <c r="K118" s="67" t="s">
        <v>147</v>
      </c>
      <c r="L118" s="42"/>
      <c r="M118" s="42"/>
      <c r="N118" s="42"/>
      <c r="O118" s="56">
        <f>IF(K116&gt;=8,SUM(O87:O114),
IF(K116&lt;3,0,
IF(AND(K116&lt;8,OR(M89&gt;0,M94&gt;0,M99&gt;0,M104&gt;0,M109&gt;0,M114&gt;0)),SUM(O87:O114),0)))</f>
        <v>0</v>
      </c>
      <c r="Q118" s="75"/>
    </row>
    <row r="119" spans="1:17">
      <c r="H119" s="15"/>
      <c r="I119" s="66"/>
      <c r="J119" s="65"/>
      <c r="K119" s="67"/>
      <c r="L119" s="42"/>
      <c r="M119" s="42"/>
      <c r="N119" s="42"/>
      <c r="O119" s="59"/>
      <c r="Q119" s="75"/>
    </row>
    <row r="120" spans="1:17">
      <c r="H120" s="15"/>
      <c r="I120" s="66"/>
      <c r="J120" s="65"/>
      <c r="K120" s="67"/>
      <c r="L120" s="42"/>
      <c r="M120" s="42"/>
      <c r="N120" s="42"/>
      <c r="O120" s="59"/>
      <c r="Q120" s="75"/>
    </row>
    <row r="121" spans="1:17">
      <c r="H121" s="15"/>
      <c r="I121" s="66"/>
      <c r="J121" s="65"/>
      <c r="K121" s="67"/>
      <c r="L121" s="42"/>
      <c r="M121" s="42"/>
      <c r="N121" s="42"/>
      <c r="O121" s="59"/>
      <c r="Q121" s="75"/>
    </row>
    <row r="122" spans="1:17" ht="23.25">
      <c r="A122" s="69" t="s">
        <v>387</v>
      </c>
      <c r="H122" s="15"/>
      <c r="I122" s="66"/>
      <c r="J122" s="65"/>
      <c r="K122" s="67"/>
      <c r="L122" s="42"/>
      <c r="M122" s="42"/>
      <c r="N122" s="42"/>
      <c r="O122" s="59"/>
      <c r="Q122" s="75"/>
    </row>
    <row r="123" spans="1:17">
      <c r="A123" s="74" t="s">
        <v>69</v>
      </c>
      <c r="H123" s="15"/>
      <c r="I123" s="66"/>
      <c r="J123" s="65"/>
      <c r="K123" s="67"/>
      <c r="L123" s="42"/>
      <c r="M123" s="42"/>
      <c r="N123" s="42"/>
      <c r="O123" s="59"/>
      <c r="Q123" s="75"/>
    </row>
    <row r="124" spans="1:17">
      <c r="A124" s="74" t="s">
        <v>400</v>
      </c>
      <c r="H124" s="15"/>
      <c r="I124" s="66"/>
      <c r="J124" s="65"/>
      <c r="K124" s="67"/>
      <c r="L124" s="42"/>
      <c r="M124" s="42"/>
      <c r="N124" s="42"/>
      <c r="O124" s="59"/>
      <c r="Q124" s="75"/>
    </row>
    <row r="125" spans="1:17">
      <c r="A125" s="74"/>
      <c r="H125" s="15"/>
      <c r="I125" s="66"/>
      <c r="J125" s="65"/>
      <c r="K125" s="67"/>
      <c r="L125" s="42"/>
      <c r="M125" s="42"/>
      <c r="N125" s="42"/>
      <c r="O125" s="59"/>
      <c r="Q125" s="75"/>
    </row>
    <row r="126" spans="1:17" ht="15" customHeight="1">
      <c r="A126" s="170" t="s">
        <v>394</v>
      </c>
      <c r="D126" s="14"/>
      <c r="E126" s="14"/>
      <c r="F126" s="14"/>
      <c r="H126" s="14"/>
      <c r="I126" s="58"/>
      <c r="J126" s="42"/>
      <c r="K126" s="170" t="s">
        <v>393</v>
      </c>
      <c r="L126" s="185"/>
      <c r="M126" s="185"/>
      <c r="N126" s="42"/>
      <c r="O126" s="56">
        <f>IF(Hulpblad!B200=2,VLOOKUP(Hulpblad!C195,Hulpblad!C428:D431,2,FALSE),0)</f>
        <v>0</v>
      </c>
      <c r="P126" s="14"/>
      <c r="Q126" s="139" t="str">
        <f>IF(A126="Niet van toepassing","",
IF(AND(Hulpblad!B167=2,Hulpblad!C169=FALSE,Hulpblad!C170=FALSE),"Vul in wanneer de isolerende deuren zijn aangebracht",
IF(AND(Hulpblad!B167=2,Hulpblad!D169="Vóór 2025 én ≤ 24 maanden geleden",K126=0),"Vul in de blauwe cel het aantal m² te isoleren oppervlak in","")))</f>
        <v/>
      </c>
    </row>
    <row r="127" spans="1:17" ht="15" customHeight="1">
      <c r="A127" s="170"/>
      <c r="D127" s="14"/>
      <c r="E127" s="14"/>
      <c r="F127" s="14"/>
      <c r="G127" s="186"/>
      <c r="H127" s="174"/>
      <c r="I127" s="174"/>
      <c r="J127" s="61"/>
      <c r="K127" s="185"/>
      <c r="L127" s="185"/>
      <c r="M127" s="185"/>
      <c r="N127" s="42"/>
      <c r="O127" s="42"/>
      <c r="P127" s="14"/>
      <c r="Q127" s="139"/>
    </row>
    <row r="128" spans="1:17" ht="15" customHeight="1">
      <c r="D128" s="14"/>
      <c r="E128" s="14"/>
      <c r="F128" s="14"/>
      <c r="G128" s="186"/>
      <c r="H128" s="174"/>
      <c r="I128" s="174"/>
      <c r="J128" s="42"/>
      <c r="K128" s="140"/>
      <c r="L128" s="42"/>
      <c r="M128" s="42"/>
      <c r="N128" s="42"/>
      <c r="O128" s="59"/>
      <c r="P128" s="14"/>
      <c r="Q128" s="75" t="str">
        <f>IF(A126="Niet van toepassing","",
IF(AND(Hulpblad!B167=2,Hulpblad!C169=FALSE,Hulpblad!C170=FALSE),"Vul in wanneer de isolerende deuren zijn aangebracht",
IF(AND(Hulpblad!B167=2,Hulpblad!D170=2025,K128=0),"Vul in de blauwe cel het aantal m² te isoleren oppervlak in","")))</f>
        <v/>
      </c>
    </row>
    <row r="129" spans="1:17">
      <c r="H129" s="15"/>
      <c r="I129" s="66"/>
      <c r="J129" s="65"/>
      <c r="K129" s="67"/>
      <c r="L129" s="42"/>
      <c r="M129" s="42"/>
      <c r="N129" s="42"/>
      <c r="O129" s="59"/>
      <c r="Q129" s="75"/>
    </row>
    <row r="130" spans="1:17">
      <c r="H130" s="15"/>
      <c r="I130" s="66"/>
      <c r="J130" s="65"/>
      <c r="K130" s="67"/>
      <c r="L130" s="42"/>
      <c r="M130" s="42"/>
      <c r="N130" s="42"/>
      <c r="O130" s="59"/>
      <c r="Q130" s="75"/>
    </row>
    <row r="131" spans="1:17">
      <c r="G131" s="147"/>
      <c r="H131" s="15"/>
      <c r="I131" s="66"/>
      <c r="J131" s="65"/>
      <c r="K131" s="67"/>
      <c r="L131" s="42"/>
      <c r="M131" s="42"/>
      <c r="N131" s="42"/>
      <c r="O131" s="59"/>
      <c r="Q131" s="75"/>
    </row>
    <row r="132" spans="1:17" ht="23.25">
      <c r="A132" s="69" t="s">
        <v>565</v>
      </c>
      <c r="B132" s="16"/>
      <c r="E132" s="155"/>
      <c r="I132" s="42"/>
      <c r="J132" s="42"/>
      <c r="K132" s="42"/>
      <c r="L132" s="42"/>
      <c r="M132" s="42"/>
      <c r="N132" s="42"/>
      <c r="O132" s="42"/>
      <c r="Q132" s="43"/>
    </row>
    <row r="133" spans="1:17">
      <c r="A133" s="187"/>
      <c r="B133" s="187"/>
      <c r="C133" s="187"/>
      <c r="E133" s="8"/>
      <c r="H133" s="17"/>
      <c r="I133" s="17"/>
      <c r="J133" s="17"/>
      <c r="L133" s="17"/>
      <c r="M133" s="17"/>
      <c r="N133" s="17"/>
    </row>
    <row r="134" spans="1:17" ht="15" customHeight="1">
      <c r="A134" s="182" t="str">
        <f>IF(Hulpblad!B9&gt;1,"Betrof dit een categorie warmtepomp?","U heeft bij punt 1. aangegeven niet eerder ISDE-subsidie te hebben ontvangen, u kunt deze vraag overslaan!")</f>
        <v>U heeft bij punt 1. aangegeven niet eerder ISDE-subsidie te hebben ontvangen, u kunt deze vraag overslaan!</v>
      </c>
      <c r="E134" s="74" t="str">
        <f>IF(AND(Hulpblad!B9&gt;1,Hulpblad!B209&gt;1),"Ga verder naar 4.2","Ga verder naar 4.1")</f>
        <v>Ga verder naar 4.1</v>
      </c>
      <c r="G134" s="68"/>
      <c r="H134" s="9"/>
      <c r="I134" s="9"/>
      <c r="J134" s="9"/>
      <c r="O134" s="31"/>
      <c r="Q134" s="178"/>
    </row>
    <row r="135" spans="1:17" ht="15" customHeight="1">
      <c r="A135" s="188"/>
      <c r="B135" s="9"/>
      <c r="E135" s="17"/>
      <c r="G135" s="42"/>
      <c r="Q135" s="179"/>
    </row>
    <row r="136" spans="1:17" ht="15" customHeight="1">
      <c r="A136" s="188"/>
      <c r="B136" s="16"/>
      <c r="E136" s="17"/>
      <c r="G136" s="61"/>
    </row>
    <row r="137" spans="1:17" ht="15" customHeight="1">
      <c r="A137" s="16"/>
      <c r="B137" s="16"/>
      <c r="E137" s="17"/>
      <c r="Q137" s="37"/>
    </row>
    <row r="138" spans="1:17" ht="15" customHeight="1">
      <c r="A138" s="16"/>
      <c r="B138" s="16"/>
      <c r="Q138" s="37"/>
    </row>
    <row r="139" spans="1:17" ht="15" customHeight="1">
      <c r="A139" s="16"/>
      <c r="B139" s="16"/>
      <c r="Q139" s="37"/>
    </row>
    <row r="140" spans="1:17" ht="15" customHeight="1"/>
    <row r="141" spans="1:17" ht="15" customHeight="1"/>
    <row r="142" spans="1:17" ht="23.25">
      <c r="A142" s="69" t="str">
        <f>IF(E134="Ga verder naar 4.1","4.1  Wilt u een warmtepomp(boiler) laten installeren?","Ga verder naar 4.2")</f>
        <v>4.1  Wilt u een warmtepomp(boiler) laten installeren?</v>
      </c>
      <c r="B142" s="16"/>
      <c r="E142" s="155"/>
      <c r="I142" s="42"/>
      <c r="J142" s="42"/>
      <c r="K142" s="42"/>
      <c r="L142" s="42"/>
      <c r="M142" s="42"/>
      <c r="N142" s="42"/>
      <c r="O142" s="42"/>
      <c r="Q142" s="43"/>
    </row>
    <row r="143" spans="1:17">
      <c r="Q143" s="76"/>
    </row>
    <row r="144" spans="1:17">
      <c r="A144" s="150" t="str">
        <f>IF(A142="Ga verder naar 4.2","","Kies soort warmtepomp:")</f>
        <v>Kies soort warmtepomp:</v>
      </c>
      <c r="G144" s="68" t="s">
        <v>551</v>
      </c>
      <c r="H144" s="9"/>
      <c r="I144" s="9"/>
      <c r="J144" s="9"/>
      <c r="O144" s="10">
        <f>IF(E134="Ga verder naar 4.2",0,
IF(OR(Hulpblad!C224="Geen warmtepomp",Hulpblad!C239="Niet van toepassing"),0,
IF(AND(Hulpblad!C232="Niet van toepassing",OR(Hulpblad!B224=2,Hulpblad!B224=3,Hulpblad!B224=5,Hulpblad!B224=6,Hulpblad!B224=7,Hulpblad!B224=9,Hulpblad!B224=10,Hulpblad!B224=11)),0,
IF(Hulpblad!C240=0,0,
IF(E166="",VLOOKUP(Hulpblad!C242,Hulpblad!C433:F652,4,FALSE))+IF(E166="",IF(C166=0,0,VLOOKUP(Hulpblad!C242,Hulpblad!C433:G652,5,FALSE)*(C166-Hulpblad!C245)),0)))))</f>
        <v>0</v>
      </c>
      <c r="Q144" s="74" t="str">
        <f>IF(AND(Hulpblad!B224&gt;1,E134="Ga verder naar 4.2"),"U heeft eerder ISDE-subsidie voor een warmtepomp ontvangen, ga verder naar 4.2 voor een extra warmtepomp",
IF(OR(Hulpblad!C224="Geen Warmtepomp",Hulpblad!C232="Niet van toepassing",Hulpblad!C239="Niet van toepassing",Hulpblad!C240=0),"",
IF(O144=0,VLOOKUP(Hulpblad!C242,Hulpblad!C433:'Hulpblad'!I668,7,FALSE),"")))</f>
        <v/>
      </c>
    </row>
    <row r="145" spans="1:17">
      <c r="Q145" s="43"/>
    </row>
    <row r="146" spans="1:17">
      <c r="O146" s="31"/>
      <c r="Q146" s="61"/>
    </row>
    <row r="147" spans="1:17">
      <c r="Q147" s="42"/>
    </row>
    <row r="148" spans="1:17">
      <c r="H148" s="35"/>
      <c r="I148" s="35"/>
      <c r="J148" s="35"/>
      <c r="K148" s="35"/>
      <c r="L148" s="35"/>
      <c r="M148" s="35"/>
      <c r="N148" s="35"/>
      <c r="O148" s="35"/>
      <c r="Q148" s="42"/>
    </row>
    <row r="149" spans="1:17">
      <c r="G149" s="35"/>
      <c r="H149" s="35"/>
      <c r="I149" s="35"/>
      <c r="J149" s="35"/>
      <c r="K149" s="35"/>
      <c r="L149" s="35"/>
      <c r="M149" s="35"/>
      <c r="N149" s="35"/>
      <c r="O149" s="35"/>
      <c r="Q149" s="42"/>
    </row>
    <row r="150" spans="1:17" ht="15" customHeight="1">
      <c r="G150" s="35"/>
      <c r="H150" s="35"/>
      <c r="I150" s="35"/>
      <c r="J150" s="35"/>
      <c r="K150" s="35"/>
      <c r="L150" s="35"/>
      <c r="M150" s="35"/>
      <c r="N150" s="35"/>
      <c r="O150" s="35"/>
      <c r="Q150" s="42"/>
    </row>
    <row r="151" spans="1:17" ht="15" customHeight="1">
      <c r="E151" s="106" t="str">
        <f>IF(AND(Hulpblad!B224=3,C166&gt;0,C166&lt;13,Hulpblad!B239&gt;=3),"In welk jaar hebt u de warmtepomp aangeschaft?","")</f>
        <v/>
      </c>
      <c r="O151" s="31"/>
      <c r="Q151" s="42"/>
    </row>
    <row r="152" spans="1:17">
      <c r="E152" s="154"/>
      <c r="G152" s="153" t="str">
        <f>IF(AND(E151="In welk jaar hebt u de warmtepomp aangeschaft?",E152=""),"Vul in de blauwe cel het jaartal in","")</f>
        <v/>
      </c>
      <c r="L152" s="8"/>
      <c r="Q152" s="42"/>
    </row>
    <row r="153" spans="1:17">
      <c r="Q153" s="42"/>
    </row>
    <row r="154" spans="1:17">
      <c r="Q154" s="42"/>
    </row>
    <row r="155" spans="1:17">
      <c r="Q155" s="42"/>
    </row>
    <row r="156" spans="1:17">
      <c r="Q156" s="42"/>
    </row>
    <row r="157" spans="1:17"/>
    <row r="158" spans="1:17">
      <c r="K158" s="107"/>
    </row>
    <row r="159" spans="1:17">
      <c r="A159" s="150" t="str">
        <f>IF(A142="Ga verder naar 4.2","","Kies energie-efficiency klasse:")</f>
        <v>Kies energie-efficiency klasse:</v>
      </c>
      <c r="K159" s="107"/>
    </row>
    <row r="160" spans="1:17"/>
    <row r="161" spans="1:17">
      <c r="E161" s="108"/>
    </row>
    <row r="162" spans="1:17"/>
    <row r="163" spans="1:17"/>
    <row r="164" spans="1:17">
      <c r="E164" s="8" t="str">
        <f>IF(A142="Ga verder naar 4.2","",IF(AND(Hulpblad!B232=1,OR(Hulpblad!B224=1,Hulpblad!B224=4,Hulpblad!B224=8,Hulpblad!B224=12)),"",
IF(AND(Hulpblad!B224&gt;1,Hulpblad!B232=1),"U moet nog een energie-efficiencyklasse invullen!","")))</f>
        <v/>
      </c>
    </row>
    <row r="165" spans="1:17"/>
    <row r="166" spans="1:17">
      <c r="A166" s="134" t="str">
        <f>IF(A142="Ga verder naar 4.2","",
IF(VLOOKUP(Hulpblad!C224,Hulpblad!B212:C223,2,FALSE)&gt;0,"Kies vermogen (kW):",""))</f>
        <v/>
      </c>
      <c r="C166" s="33"/>
      <c r="E166" s="8" t="str">
        <f>IF(A166="","",IF(OR(C166=0,C166&lt;Hulpblad!C245,C166&gt;Hulpblad!C246),"U moet een geheel aantal kW vermogen tussen "&amp;Hulpblad!C245&amp;" kW - "&amp;Hulpblad!C246&amp;" kW invullen!",""))</f>
        <v/>
      </c>
      <c r="H166" s="17"/>
      <c r="I166" s="17"/>
      <c r="J166" s="17"/>
      <c r="L166" s="17"/>
      <c r="M166" s="17"/>
      <c r="N166" s="17"/>
    </row>
    <row r="167" spans="1:17">
      <c r="A167" s="131"/>
      <c r="C167" s="133"/>
      <c r="E167" s="8"/>
      <c r="H167" s="17"/>
      <c r="I167" s="17"/>
      <c r="J167" s="17"/>
      <c r="L167" s="17"/>
      <c r="M167" s="17"/>
      <c r="N167" s="17"/>
    </row>
    <row r="168" spans="1:17">
      <c r="A168" s="131"/>
      <c r="C168" s="133"/>
      <c r="E168" s="8"/>
      <c r="H168" s="17"/>
      <c r="I168" s="17"/>
      <c r="J168" s="17"/>
      <c r="L168" s="17"/>
      <c r="M168" s="17"/>
      <c r="N168" s="17"/>
    </row>
    <row r="169" spans="1:17" ht="20.25">
      <c r="A169" s="69" t="s">
        <v>554</v>
      </c>
      <c r="C169" s="133"/>
      <c r="E169" s="155"/>
      <c r="H169" s="17"/>
      <c r="I169" s="17"/>
      <c r="J169" s="17"/>
      <c r="L169" s="17"/>
      <c r="M169" s="17"/>
      <c r="N169" s="17"/>
    </row>
    <row r="170" spans="1:17">
      <c r="A170" s="74" t="s">
        <v>69</v>
      </c>
      <c r="C170" s="133"/>
      <c r="E170" s="8"/>
      <c r="H170" s="17"/>
      <c r="I170" s="17"/>
      <c r="J170" s="17"/>
      <c r="L170" s="17"/>
      <c r="M170" s="17"/>
      <c r="N170" s="17"/>
    </row>
    <row r="171" spans="1:17">
      <c r="A171" s="74" t="s">
        <v>552</v>
      </c>
      <c r="C171" s="133"/>
      <c r="E171" s="8"/>
      <c r="H171" s="17"/>
      <c r="I171" s="17"/>
      <c r="J171" s="17"/>
      <c r="L171" s="17"/>
      <c r="M171" s="17"/>
      <c r="N171" s="17"/>
    </row>
    <row r="172" spans="1:17">
      <c r="A172" s="74" t="s">
        <v>553</v>
      </c>
      <c r="C172" s="133"/>
      <c r="E172" s="8"/>
      <c r="H172" s="17"/>
      <c r="I172" s="17"/>
      <c r="J172" s="17"/>
      <c r="L172" s="17"/>
      <c r="M172" s="17"/>
      <c r="N172" s="17"/>
    </row>
    <row r="173" spans="1:17">
      <c r="Q173" s="76"/>
    </row>
    <row r="174" spans="1:17">
      <c r="A174" s="42" t="s">
        <v>31</v>
      </c>
      <c r="G174" s="68" t="s">
        <v>555</v>
      </c>
      <c r="H174" s="9"/>
      <c r="I174" s="9"/>
      <c r="J174" s="9"/>
      <c r="O174" s="10">
        <f>IF(OR(Hulpblad!C265="Geen warmtepomp",Hulpblad!C280="Niet van toepassing"),0,
IF(AND(Hulpblad!C273="Niet van toepassing",OR(Hulpblad!B265=2,Hulpblad!B265=3,Hulpblad!B265=5,Hulpblad!B265=6,Hulpblad!B265=7,Hulpblad!B265=9,Hulpblad!B265=10,Hulpblad!B265=11)),0,
IF(Hulpblad!C281=0,0,
IF(OR(
AND(E196="",Hulpblad!C280=2026,Hulpblad!B9&gt;1,Hulpblad!B209=3,Hulpblad!B265=3,Hulpblad!B273=2),
AND(E196="",Hulpblad!C280=2026,Hulpblad!B9&gt;1,Hulpblad!B209=4,Hulpblad!B265=3,Hulpblad!B273=2),
AND(E196="",Hulpblad!C280=2026,Hulpblad!B224=3,Hulpblad!B232=3,O144&gt;0,Hulpblad!B265=3,Hulpblad!B273=2),
AND(E196="",Hulpblad!C280=2026,Hulpblad!B224=4,O144&gt;0,Hulpblad!B265=3,Hulpblad!B273=2)),
IF(C196=0,0,VLOOKUP(Hulpblad!C284,Hulpblad!C433:G652,5,FALSE)*C196)+VLOOKUP(Hulpblad!C284,Hulpblad!C433:G652,3,FALSE),
IF(OR(
AND(E196="",Hulpblad!C280=2026,Hulpblad!B9&gt;1,Hulpblad!B209=2,Hulpblad!B265=3),
AND(E196="",Hulpblad!C280=2026,Hulpblad!B9&gt;1,Hulpblad!B209=2,Hulpblad!B265=4),
AND(E196="",Hulpblad!C280=2026,Hulpblad!B224=3,Hulpblad!B265=3,O144&gt;0),
AND(E196="",Hulpblad!C280=2026,Hulpblad!B224=4,Hulpblad!B265=4,O144&gt;0),
AND(E196="",Hulpblad!C280=2026,Hulpblad!B224=3,Hulpblad!B265=4,O144&gt;0),
AND(E196="",Hulpblad!C280=2026,Hulpblad!B224=4,Hulpblad!B265=3,O144&gt;0)),
IF(C196=0,0,VLOOKUP(Hulpblad!C284,Hulpblad!C433:G652,5,FALSE)*C196),
IF(E196="",VLOOKUP(Hulpblad!C284,Hulpblad!C433:F652,4,FALSE))+IF(E196="",IF(C196=0,0,VLOOKUP(Hulpblad!C284,Hulpblad!C433:G652,5,FALSE)*(C196-Hulpblad!C287)),0))))))</f>
        <v>0</v>
      </c>
      <c r="Q174" s="74" t="str">
        <f>IF(OR(Hulpblad!C265="Geen Warmtepomp",Hulpblad!C273="Niet van toepassing",Hulpblad!C280="Niet van toepassing",Hulpblad!C281=0),"",IF(O174=0,VLOOKUP(Hulpblad!C284,Hulpblad!C433:'Hulpblad'!I652,7,FALSE),""))</f>
        <v/>
      </c>
    </row>
    <row r="175" spans="1:17">
      <c r="Q175" s="43"/>
    </row>
    <row r="176" spans="1:17">
      <c r="O176" s="31"/>
      <c r="Q176" s="61"/>
    </row>
    <row r="177" spans="1:17">
      <c r="Q177" s="42"/>
    </row>
    <row r="178" spans="1:17">
      <c r="H178" s="35"/>
      <c r="I178" s="35"/>
      <c r="J178" s="35"/>
      <c r="K178" s="35"/>
      <c r="L178" s="35"/>
      <c r="M178" s="35"/>
      <c r="N178" s="35"/>
      <c r="O178" s="35"/>
      <c r="Q178" s="42"/>
    </row>
    <row r="179" spans="1:17">
      <c r="G179" s="35"/>
      <c r="H179" s="35"/>
      <c r="I179" s="35"/>
      <c r="J179" s="35"/>
      <c r="K179" s="35"/>
      <c r="L179" s="35"/>
      <c r="M179" s="35"/>
      <c r="N179" s="35"/>
      <c r="O179" s="35"/>
      <c r="Q179" s="42"/>
    </row>
    <row r="180" spans="1:17" ht="15" customHeight="1">
      <c r="G180" s="35"/>
      <c r="H180" s="35"/>
      <c r="I180" s="35"/>
      <c r="J180" s="35"/>
      <c r="K180" s="35"/>
      <c r="L180" s="35"/>
      <c r="M180" s="35"/>
      <c r="N180" s="35"/>
      <c r="O180" s="35"/>
      <c r="Q180" s="42"/>
    </row>
    <row r="181" spans="1:17" ht="15" customHeight="1">
      <c r="E181" s="106" t="str">
        <f>IF(AND(Hulpblad!B265=3,C196&gt;0,C196&lt;13,Hulpblad!B280=3),"In welk jaar hebt u de warmtepomp aangeschaft?","")</f>
        <v/>
      </c>
      <c r="O181" s="31"/>
      <c r="Q181" s="42"/>
    </row>
    <row r="182" spans="1:17">
      <c r="E182" s="154"/>
      <c r="G182" s="153" t="str">
        <f>IF(AND(E181="In welk jaar hebt u de warmtepomp aangeschaft?",E182=""),"Vul in de blauwe cel het jaartal in","")</f>
        <v/>
      </c>
      <c r="L182" s="8"/>
      <c r="Q182" s="42"/>
    </row>
    <row r="183" spans="1:17">
      <c r="Q183" s="42"/>
    </row>
    <row r="184" spans="1:17">
      <c r="Q184" s="42"/>
    </row>
    <row r="185" spans="1:17">
      <c r="Q185" s="42"/>
    </row>
    <row r="186" spans="1:17">
      <c r="Q186" s="42"/>
    </row>
    <row r="187" spans="1:17"/>
    <row r="188" spans="1:17">
      <c r="K188" s="107"/>
    </row>
    <row r="189" spans="1:17">
      <c r="A189" s="150" t="s">
        <v>527</v>
      </c>
      <c r="K189" s="107"/>
    </row>
    <row r="190" spans="1:17"/>
    <row r="191" spans="1:17">
      <c r="E191" s="108"/>
    </row>
    <row r="192" spans="1:17"/>
    <row r="193" spans="1:17"/>
    <row r="194" spans="1:17">
      <c r="E194" s="8" t="str">
        <f>IF(AND(Hulpblad!B273=1,OR(Hulpblad!B265=1,Hulpblad!B265=4,Hulpblad!B265=8,Hulpblad!B265=12)),"",
IF(AND(Hulpblad!B265&gt;1,Hulpblad!B273=1),"U moet nog een energie-efficiencyklasse invullen!",""))</f>
        <v/>
      </c>
    </row>
    <row r="195" spans="1:17"/>
    <row r="196" spans="1:17">
      <c r="A196" s="134" t="str">
        <f>IF(VLOOKUP(Hulpblad!C265,Hulpblad!B253:C264,2,FALSE)&gt;0,"Kies vermogen (kW):","")</f>
        <v/>
      </c>
      <c r="C196" s="33"/>
      <c r="E196" s="8" t="str">
        <f>IF(A196="","",IF(OR(C196=0,C196&lt;Hulpblad!C287,C196&gt;Hulpblad!C288),"U moet een geheel aantal kW vermogen tussen "&amp;Hulpblad!C287&amp;" kW - "&amp;Hulpblad!C288&amp;" kW invullen!",""))</f>
        <v/>
      </c>
      <c r="H196" s="17"/>
      <c r="I196" s="17"/>
      <c r="J196" s="17"/>
      <c r="L196" s="17"/>
      <c r="M196" s="17"/>
      <c r="N196" s="17"/>
    </row>
    <row r="197" spans="1:17">
      <c r="A197" s="131"/>
      <c r="C197" s="133"/>
      <c r="E197" s="8"/>
      <c r="H197" s="17"/>
      <c r="I197" s="17"/>
      <c r="J197" s="17"/>
      <c r="L197" s="17"/>
      <c r="M197" s="17"/>
      <c r="N197" s="17"/>
    </row>
    <row r="198" spans="1:17">
      <c r="A198" s="131"/>
      <c r="C198" s="133"/>
      <c r="E198" s="8"/>
      <c r="H198" s="17"/>
      <c r="I198" s="17"/>
      <c r="J198" s="17"/>
      <c r="L198" s="17"/>
      <c r="M198" s="17"/>
      <c r="N198" s="17"/>
    </row>
    <row r="199" spans="1:17">
      <c r="A199" s="132" t="s">
        <v>271</v>
      </c>
      <c r="C199" s="133"/>
      <c r="E199" s="8"/>
      <c r="H199" s="17"/>
      <c r="I199" s="17"/>
      <c r="J199" s="17"/>
      <c r="L199" s="17"/>
      <c r="M199" s="17"/>
      <c r="N199" s="17"/>
    </row>
    <row r="200" spans="1:17">
      <c r="A200" s="131" t="s">
        <v>272</v>
      </c>
      <c r="C200" s="133"/>
      <c r="E200" s="8"/>
      <c r="H200" s="17"/>
      <c r="I200" s="17"/>
      <c r="J200" s="17"/>
      <c r="L200" s="17"/>
      <c r="M200" s="17"/>
      <c r="N200" s="17"/>
    </row>
    <row r="201" spans="1:17" ht="15" customHeight="1">
      <c r="B201" s="9"/>
    </row>
    <row r="202" spans="1:17" ht="23.25">
      <c r="A202" s="69" t="s">
        <v>384</v>
      </c>
      <c r="B202" s="16"/>
    </row>
    <row r="203" spans="1:17" ht="23.25">
      <c r="A203" s="16"/>
      <c r="B203" s="16"/>
    </row>
    <row r="204" spans="1:17" ht="15" customHeight="1">
      <c r="A204" s="16"/>
      <c r="B204" s="16"/>
    </row>
    <row r="205" spans="1:17" ht="15" customHeight="1">
      <c r="A205" s="42" t="s">
        <v>32</v>
      </c>
      <c r="E205" s="17"/>
      <c r="G205" s="68" t="s">
        <v>128</v>
      </c>
      <c r="H205" s="9"/>
      <c r="I205" s="9"/>
      <c r="J205" s="9"/>
      <c r="O205" s="10">
        <f>IF(OR(Hulpblad!C301="Geen zonneboiler",Hulpblad!C306="Niet van toepassing"),0,VLOOKUP(Hulpblad!C308,Hulpblad!C656:D660,2,FALSE))</f>
        <v>0</v>
      </c>
      <c r="Q205" s="178" t="str">
        <f>IF(O205&gt;0,"Dit subsidiebedrag is indicatief, raadpleeg de ISDE-apparatenlijst zonneboilers voor het exacte bedrag.","")</f>
        <v/>
      </c>
    </row>
    <row r="206" spans="1:17" ht="15" customHeight="1">
      <c r="B206" s="9"/>
      <c r="E206" s="17"/>
      <c r="G206" s="42"/>
      <c r="Q206" s="179"/>
    </row>
    <row r="207" spans="1:17" ht="15" customHeight="1">
      <c r="A207" s="16"/>
      <c r="B207" s="16"/>
      <c r="E207" s="17"/>
      <c r="G207" s="61"/>
    </row>
    <row r="208" spans="1:17" ht="15" customHeight="1">
      <c r="A208" s="16"/>
      <c r="B208" s="16"/>
      <c r="E208" s="17"/>
      <c r="Q208" s="37"/>
    </row>
    <row r="209" spans="1:17" ht="15" customHeight="1">
      <c r="A209" s="16"/>
      <c r="B209" s="16"/>
      <c r="Q209" s="37"/>
    </row>
    <row r="210" spans="1:17" ht="15" customHeight="1">
      <c r="A210" s="16"/>
      <c r="B210" s="16"/>
      <c r="Q210" s="37"/>
    </row>
    <row r="211" spans="1:17" ht="15" customHeight="1"/>
    <row r="212" spans="1:17" ht="15" customHeight="1">
      <c r="A212" s="132" t="s">
        <v>269</v>
      </c>
    </row>
    <row r="213" spans="1:17" ht="15" customHeight="1">
      <c r="A213" s="131" t="s">
        <v>270</v>
      </c>
    </row>
    <row r="214" spans="1:17" ht="15" customHeight="1"/>
    <row r="215" spans="1:17" ht="23.25">
      <c r="A215" s="69" t="s">
        <v>385</v>
      </c>
      <c r="B215" s="16"/>
    </row>
    <row r="216" spans="1:17" ht="23.25">
      <c r="A216" s="16"/>
      <c r="B216" s="16"/>
    </row>
    <row r="217" spans="1:17" ht="15" customHeight="1"/>
    <row r="218" spans="1:17">
      <c r="A218" s="168" t="s">
        <v>77</v>
      </c>
      <c r="B218" s="37"/>
      <c r="D218" s="18"/>
      <c r="E218" s="18"/>
      <c r="G218" s="68" t="s">
        <v>127</v>
      </c>
      <c r="H218" s="9"/>
      <c r="I218" s="9"/>
      <c r="J218" s="9"/>
      <c r="O218" s="10">
        <f>IF(OR(Hulpblad!C313="Geen aansluiting op een warmtenet",Hulpblad!C317="Niet van toepassing"),0,VLOOKUP(Hulpblad!C319,Hulpblad!C663:D664,2,FALSE))</f>
        <v>0</v>
      </c>
      <c r="Q218" s="170" t="str">
        <f>IF(O218&gt;0,"Dit subsidiebedrag is inclusief een bijdrage voor een elektrische kookvoorziening.","")</f>
        <v/>
      </c>
    </row>
    <row r="219" spans="1:17">
      <c r="A219" s="168"/>
      <c r="B219" s="37"/>
      <c r="D219" s="18"/>
      <c r="E219" s="18"/>
      <c r="Q219" s="168"/>
    </row>
    <row r="220" spans="1:17">
      <c r="A220" s="35"/>
      <c r="B220" s="37"/>
      <c r="D220" s="18"/>
      <c r="E220" s="18"/>
      <c r="Q220" s="35"/>
    </row>
    <row r="221" spans="1:17">
      <c r="A221" s="35"/>
      <c r="B221" s="37"/>
      <c r="D221" s="18"/>
      <c r="E221" s="18"/>
      <c r="Q221" s="35"/>
    </row>
    <row r="222" spans="1:17" ht="15" customHeight="1">
      <c r="A222" s="37"/>
      <c r="B222" s="37"/>
      <c r="D222" s="18"/>
      <c r="E222" s="18"/>
    </row>
    <row r="223" spans="1:17" ht="30.75" customHeight="1">
      <c r="A223" s="69" t="s">
        <v>386</v>
      </c>
      <c r="B223" s="37"/>
      <c r="D223" s="2" t="s">
        <v>73</v>
      </c>
      <c r="E223" s="37"/>
    </row>
    <row r="224" spans="1:17" ht="30.75" customHeight="1">
      <c r="A224" s="16"/>
      <c r="B224" s="37"/>
      <c r="E224" s="37"/>
    </row>
    <row r="225" spans="1:15" ht="15" customHeight="1">
      <c r="A225" s="170" t="str">
        <f>IF(O218&gt;0,"U komt niet in aanmerking voor een aparte subsidie voor de elektrische kookvoorziening, omdat deze al bij de aansluiting op een warmtenet is inbegrepen.","Wilt u een elektrische kookvoorziening aanschaffen?")</f>
        <v>Wilt u een elektrische kookvoorziening aanschaffen?</v>
      </c>
      <c r="B225" s="37"/>
      <c r="E225" s="37"/>
    </row>
    <row r="226" spans="1:15" ht="15" customHeight="1">
      <c r="A226" s="173"/>
      <c r="B226" s="37"/>
      <c r="E226" s="37"/>
    </row>
    <row r="227" spans="1:15" ht="30" customHeight="1">
      <c r="A227" s="173"/>
      <c r="B227" s="37"/>
      <c r="E227" s="21"/>
    </row>
    <row r="228" spans="1:15" ht="15" customHeight="1">
      <c r="A228" s="71"/>
      <c r="B228" s="37"/>
    </row>
    <row r="229" spans="1:15" ht="30" customHeight="1">
      <c r="A229" s="70" t="str">
        <f>IF(AND(Hulpblad!C325="Ja",A225="Wilt u een elektrische kookvoorziening aanschaffen?"),"Is uw woning aangesloten op een warmtenet?","Niet van toepassing!")</f>
        <v>Niet van toepassing!</v>
      </c>
      <c r="B229" s="37"/>
      <c r="E229" s="77" t="str">
        <f>IF(O218&gt;0,"",IF(Hulpblad!F325="Nee","U komt niet in aanmerking voor subsidie voor een elektrische kookvoorziening als uw woning niet op een warmtenet is aangesloten.",""))</f>
        <v/>
      </c>
    </row>
    <row r="230" spans="1:15" ht="15" customHeight="1">
      <c r="A230" s="71"/>
      <c r="B230" s="37"/>
    </row>
    <row r="231" spans="1:15" ht="15" customHeight="1">
      <c r="A231" s="71"/>
      <c r="B231" s="37"/>
    </row>
    <row r="232" spans="1:15" ht="15" customHeight="1">
      <c r="A232" s="71"/>
      <c r="B232" s="37"/>
    </row>
    <row r="233" spans="1:15" ht="30" customHeight="1">
      <c r="A233" s="70" t="str">
        <f>IF(AND(Hulpblad!F325="Ja",A229="Is uw woning aangesloten op een warmtenet?"),"Heeft u voor de aansluiting op een warmtenet al  eerder subsidie ontvangen van de Rijksoverheid?","Niet van toepassing!")</f>
        <v>Niet van toepassing!</v>
      </c>
      <c r="B233" s="37"/>
      <c r="E233" s="162" t="str">
        <f>IF(O218&gt;0,"",IF(Hulpblad!I325="Ja","U komt niet in aanmerking vooor subsidie voor een elektrische kookvoorziening, omdat u van de Rijksoverheid al subsidie voor het warmtenet heeft ontvangen.",""))</f>
        <v/>
      </c>
      <c r="F233" s="163"/>
      <c r="G233" s="163"/>
      <c r="H233" s="163"/>
      <c r="I233" s="163"/>
      <c r="J233" s="163"/>
      <c r="K233" s="163"/>
    </row>
    <row r="234" spans="1:15" ht="14.1" customHeight="1">
      <c r="A234" s="71"/>
      <c r="B234" s="19"/>
      <c r="D234" s="18"/>
      <c r="L234" s="18"/>
      <c r="M234" s="18"/>
    </row>
    <row r="235" spans="1:15">
      <c r="A235" s="72"/>
      <c r="B235" s="19"/>
      <c r="D235" s="18"/>
      <c r="L235" s="18"/>
      <c r="M235" s="18"/>
    </row>
    <row r="236" spans="1:15">
      <c r="A236" s="72"/>
      <c r="B236" s="19"/>
      <c r="D236" s="18"/>
      <c r="L236" s="18"/>
      <c r="M236" s="18"/>
    </row>
    <row r="237" spans="1:15" ht="30" customHeight="1">
      <c r="A237" s="170" t="str">
        <f>IF(O218&gt;0,"Niet van toepassing!",IF(Hulpblad!I325="Nee","Is zowel uw woning afgesloten van het aardgasnet als de elektrische kookvoorziening aangeschaft niet langer dan 24 maanden geleden?","Niet van toepassing!"))</f>
        <v>Niet van toepassing!</v>
      </c>
      <c r="B237" s="41"/>
      <c r="E237" s="78" t="str">
        <f>IF(O218&gt;0,"",IF(Hulpblad!L325="Nee","U komt niet in aanmerking vooor subsidie voor een elektrische kookvoorziening. ",""))</f>
        <v/>
      </c>
    </row>
    <row r="238" spans="1:15" ht="15" customHeight="1">
      <c r="A238" s="169"/>
      <c r="B238" s="41"/>
      <c r="E238" s="20"/>
    </row>
    <row r="239" spans="1:15">
      <c r="A239" s="169"/>
      <c r="B239" s="36"/>
      <c r="G239" s="9" t="s">
        <v>49</v>
      </c>
      <c r="H239" s="9"/>
      <c r="I239" s="9"/>
      <c r="J239" s="9"/>
      <c r="O239" s="10">
        <f>IF(O218&gt;0,0,IF(Hulpblad!L325="Ja",VLOOKUP(Hulpblad!C668,Hulpblad!C667:D668,2,FALSE),0))</f>
        <v>0</v>
      </c>
    </row>
    <row r="240" spans="1:15">
      <c r="A240" s="169"/>
      <c r="B240" s="37"/>
    </row>
    <row r="241" spans="1:15">
      <c r="A241" s="21"/>
      <c r="B241" s="21"/>
    </row>
    <row r="242" spans="1:15">
      <c r="A242" s="9"/>
      <c r="B242" s="9"/>
    </row>
    <row r="243" spans="1:15" ht="18.75">
      <c r="B243" s="22"/>
      <c r="G243" s="73" t="s">
        <v>126</v>
      </c>
      <c r="H243" s="22"/>
      <c r="I243" s="22"/>
      <c r="J243" s="22"/>
      <c r="O243" s="128">
        <f>SUM(O30:O60)+SUM(O69:O79)+O118+O144+O205+O218+O239</f>
        <v>0</v>
      </c>
    </row>
    <row r="244" spans="1:15">
      <c r="O244" s="18"/>
    </row>
    <row r="245" spans="1:15">
      <c r="A245" s="166"/>
      <c r="B245" s="166"/>
      <c r="C245" s="167"/>
    </row>
    <row r="246" spans="1:15"/>
    <row r="247" spans="1:15"/>
    <row r="248" spans="1:15"/>
    <row r="249" spans="1:15"/>
  </sheetData>
  <sheetProtection algorithmName="SHA-512" hashValue="4CycH/ThHJJXpc4xBFr0EmQMvxiu/AGrEzYBjUp4WSRHiYVFpg55D7KKKFCDXXNrYDd9oBp86ocUFOtvQrivUQ==" saltValue="crfv8SU0hTeZBacERw0lYw==" spinCount="100000" sheet="1" objects="1" scenarios="1"/>
  <mergeCells count="28">
    <mergeCell ref="Q218:Q219"/>
    <mergeCell ref="Q205:Q206"/>
    <mergeCell ref="A8:C8"/>
    <mergeCell ref="Q116:Q117"/>
    <mergeCell ref="I66:I67"/>
    <mergeCell ref="Q30:Q31"/>
    <mergeCell ref="Q36:Q37"/>
    <mergeCell ref="Q60:Q61"/>
    <mergeCell ref="Q54:Q55"/>
    <mergeCell ref="A126:A127"/>
    <mergeCell ref="K126:M127"/>
    <mergeCell ref="G127:I127"/>
    <mergeCell ref="G128:I128"/>
    <mergeCell ref="Q134:Q135"/>
    <mergeCell ref="A133:C133"/>
    <mergeCell ref="A134:A136"/>
    <mergeCell ref="E233:K233"/>
    <mergeCell ref="A5:O5"/>
    <mergeCell ref="A245:C245"/>
    <mergeCell ref="A218:A219"/>
    <mergeCell ref="A97:A98"/>
    <mergeCell ref="A102:A103"/>
    <mergeCell ref="A107:A108"/>
    <mergeCell ref="A112:A113"/>
    <mergeCell ref="A237:A240"/>
    <mergeCell ref="A16:G16"/>
    <mergeCell ref="G87:G114"/>
    <mergeCell ref="A225:A227"/>
  </mergeCells>
  <conditionalFormatting sqref="A142">
    <cfRule type="expression" dxfId="8" priority="1">
      <formula>A142="Ga verder naar 4.2"</formula>
    </cfRule>
  </conditionalFormatting>
  <conditionalFormatting sqref="C166">
    <cfRule type="expression" dxfId="7" priority="10">
      <formula>$A$166=""</formula>
    </cfRule>
    <cfRule type="expression" dxfId="6" priority="11">
      <formula>$A$166=""</formula>
    </cfRule>
  </conditionalFormatting>
  <conditionalFormatting sqref="C196">
    <cfRule type="expression" dxfId="5" priority="2">
      <formula>$A$196=""</formula>
    </cfRule>
    <cfRule type="expression" dxfId="4" priority="3">
      <formula>$A$196=""</formula>
    </cfRule>
  </conditionalFormatting>
  <conditionalFormatting sqref="E152">
    <cfRule type="expression" dxfId="3" priority="5">
      <formula>E151=""</formula>
    </cfRule>
    <cfRule type="expression" dxfId="2" priority="7">
      <formula>E151=""</formula>
    </cfRule>
  </conditionalFormatting>
  <conditionalFormatting sqref="E182">
    <cfRule type="expression" dxfId="1" priority="4">
      <formula>E181=""</formula>
    </cfRule>
    <cfRule type="expression" dxfId="0" priority="6">
      <formula>E181=""</formula>
    </cfRule>
  </conditionalFormatting>
  <hyperlinks>
    <hyperlink ref="A9" r:id="rId1" xr:uid="{47158AD8-F4BE-4684-9E7F-A872EB46414A}"/>
    <hyperlink ref="A11" r:id="rId2" xr:uid="{FBF1111B-5C35-4A3D-AA40-12A6A0720D7E}"/>
    <hyperlink ref="A8" r:id="rId3" xr:uid="{8BDAA56C-B297-4D20-9CA0-573A492E3437}"/>
    <hyperlink ref="A12" r:id="rId4" xr:uid="{3316CA3D-B4B2-408E-9A54-58B00C0F7BBE}"/>
    <hyperlink ref="A213" r:id="rId5" xr:uid="{B0BF26BA-2B1A-4270-A122-F44552B762AB}"/>
    <hyperlink ref="A200" r:id="rId6" xr:uid="{C8204443-5EE0-4E50-A759-F6FCA58C372C}"/>
    <hyperlink ref="A13" r:id="rId7" xr:uid="{F3DA3EB6-93FC-42AB-AEE3-EC1E3EEB4D0F}"/>
    <hyperlink ref="A10" r:id="rId8" location="ook-subsidie-voor-ventilatie" xr:uid="{C2EF44DD-6A8F-4F91-9D16-5A5A6D1100CA}"/>
  </hyperlinks>
  <pageMargins left="0.7" right="0.7" top="0.75" bottom="0.75" header="0.3" footer="0.3"/>
  <pageSetup paperSize="9" scale="43" fitToHeight="0" orientation="landscape" r:id="rId9"/>
  <rowBreaks count="1" manualBreakCount="1">
    <brk id="60" max="16" man="1"/>
  </rowBreaks>
  <ignoredErrors>
    <ignoredError sqref="Q218" evalError="1"/>
  </ignoredErrors>
  <drawing r:id="rId10"/>
  <legacyDrawing r:id="rId11"/>
  <mc:AlternateContent xmlns:mc="http://schemas.openxmlformats.org/markup-compatibility/2006">
    <mc:Choice Requires="x14">
      <controls>
        <mc:AlternateContent xmlns:mc="http://schemas.openxmlformats.org/markup-compatibility/2006">
          <mc:Choice Requires="x14">
            <control shapeId="1133" r:id="rId12" name="Option Button 109">
              <controlPr defaultSize="0" autoFill="0" autoLine="0" autoPict="0">
                <anchor moveWithCells="1">
                  <from>
                    <xdr:col>2</xdr:col>
                    <xdr:colOff>19050</xdr:colOff>
                    <xdr:row>30</xdr:row>
                    <xdr:rowOff>0</xdr:rowOff>
                  </from>
                  <to>
                    <xdr:col>2</xdr:col>
                    <xdr:colOff>2266950</xdr:colOff>
                    <xdr:row>30</xdr:row>
                    <xdr:rowOff>180975</xdr:rowOff>
                  </to>
                </anchor>
              </controlPr>
            </control>
          </mc:Choice>
        </mc:AlternateContent>
        <mc:AlternateContent xmlns:mc="http://schemas.openxmlformats.org/markup-compatibility/2006">
          <mc:Choice Requires="x14">
            <control shapeId="1136" r:id="rId13" name="Group Box 112">
              <controlPr defaultSize="0" autoFill="0" autoPict="0" altText="Dakisolatie">
                <anchor moveWithCells="1">
                  <from>
                    <xdr:col>2</xdr:col>
                    <xdr:colOff>0</xdr:colOff>
                    <xdr:row>29</xdr:row>
                    <xdr:rowOff>0</xdr:rowOff>
                  </from>
                  <to>
                    <xdr:col>2</xdr:col>
                    <xdr:colOff>2695575</xdr:colOff>
                    <xdr:row>33</xdr:row>
                    <xdr:rowOff>28575</xdr:rowOff>
                  </to>
                </anchor>
              </controlPr>
            </control>
          </mc:Choice>
        </mc:AlternateContent>
        <mc:AlternateContent xmlns:mc="http://schemas.openxmlformats.org/markup-compatibility/2006">
          <mc:Choice Requires="x14">
            <control shapeId="1141" r:id="rId14" name="Group Box 117">
              <controlPr defaultSize="0" autoFill="0" autoPict="0" altText="Dakisolatie">
                <anchor moveWithCells="1">
                  <from>
                    <xdr:col>2</xdr:col>
                    <xdr:colOff>0</xdr:colOff>
                    <xdr:row>18</xdr:row>
                    <xdr:rowOff>285750</xdr:rowOff>
                  </from>
                  <to>
                    <xdr:col>2</xdr:col>
                    <xdr:colOff>2695575</xdr:colOff>
                    <xdr:row>23</xdr:row>
                    <xdr:rowOff>47625</xdr:rowOff>
                  </to>
                </anchor>
              </controlPr>
            </control>
          </mc:Choice>
        </mc:AlternateContent>
        <mc:AlternateContent xmlns:mc="http://schemas.openxmlformats.org/markup-compatibility/2006">
          <mc:Choice Requires="x14">
            <control shapeId="1142" r:id="rId15" name="Option Button 118">
              <controlPr defaultSize="0" autoFill="0" autoLine="0" autoPict="0">
                <anchor moveWithCells="1">
                  <from>
                    <xdr:col>2</xdr:col>
                    <xdr:colOff>0</xdr:colOff>
                    <xdr:row>20</xdr:row>
                    <xdr:rowOff>9525</xdr:rowOff>
                  </from>
                  <to>
                    <xdr:col>2</xdr:col>
                    <xdr:colOff>2352675</xdr:colOff>
                    <xdr:row>20</xdr:row>
                    <xdr:rowOff>190500</xdr:rowOff>
                  </to>
                </anchor>
              </controlPr>
            </control>
          </mc:Choice>
        </mc:AlternateContent>
        <mc:AlternateContent xmlns:mc="http://schemas.openxmlformats.org/markup-compatibility/2006">
          <mc:Choice Requires="x14">
            <control shapeId="1145" r:id="rId16" name="Option Button 121">
              <controlPr defaultSize="0" autoFill="0" autoLine="0" autoPict="0">
                <anchor moveWithCells="1">
                  <from>
                    <xdr:col>4</xdr:col>
                    <xdr:colOff>28575</xdr:colOff>
                    <xdr:row>29</xdr:row>
                    <xdr:rowOff>171450</xdr:rowOff>
                  </from>
                  <to>
                    <xdr:col>4</xdr:col>
                    <xdr:colOff>2495550</xdr:colOff>
                    <xdr:row>31</xdr:row>
                    <xdr:rowOff>0</xdr:rowOff>
                  </to>
                </anchor>
              </controlPr>
            </control>
          </mc:Choice>
        </mc:AlternateContent>
        <mc:AlternateContent xmlns:mc="http://schemas.openxmlformats.org/markup-compatibility/2006">
          <mc:Choice Requires="x14">
            <control shapeId="1152" r:id="rId17" name="Option Button 128">
              <controlPr defaultSize="0" autoFill="0" autoLine="0" autoPict="0">
                <anchor moveWithCells="1">
                  <from>
                    <xdr:col>2</xdr:col>
                    <xdr:colOff>19050</xdr:colOff>
                    <xdr:row>42</xdr:row>
                    <xdr:rowOff>9525</xdr:rowOff>
                  </from>
                  <to>
                    <xdr:col>2</xdr:col>
                    <xdr:colOff>2324100</xdr:colOff>
                    <xdr:row>43</xdr:row>
                    <xdr:rowOff>0</xdr:rowOff>
                  </to>
                </anchor>
              </controlPr>
            </control>
          </mc:Choice>
        </mc:AlternateContent>
        <mc:AlternateContent xmlns:mc="http://schemas.openxmlformats.org/markup-compatibility/2006">
          <mc:Choice Requires="x14">
            <control shapeId="1157" r:id="rId18" name="Group Box 133">
              <controlPr defaultSize="0" autoFill="0" autoPict="0">
                <anchor moveWithCells="1">
                  <from>
                    <xdr:col>2</xdr:col>
                    <xdr:colOff>0</xdr:colOff>
                    <xdr:row>41</xdr:row>
                    <xdr:rowOff>0</xdr:rowOff>
                  </from>
                  <to>
                    <xdr:col>2</xdr:col>
                    <xdr:colOff>2695575</xdr:colOff>
                    <xdr:row>45</xdr:row>
                    <xdr:rowOff>28575</xdr:rowOff>
                  </to>
                </anchor>
              </controlPr>
            </control>
          </mc:Choice>
        </mc:AlternateContent>
        <mc:AlternateContent xmlns:mc="http://schemas.openxmlformats.org/markup-compatibility/2006">
          <mc:Choice Requires="x14">
            <control shapeId="1180" r:id="rId19" name="Option Button 156">
              <controlPr defaultSize="0" autoFill="0" autoLine="0" autoPict="0">
                <anchor moveWithCells="1">
                  <from>
                    <xdr:col>4</xdr:col>
                    <xdr:colOff>38100</xdr:colOff>
                    <xdr:row>41</xdr:row>
                    <xdr:rowOff>171450</xdr:rowOff>
                  </from>
                  <to>
                    <xdr:col>4</xdr:col>
                    <xdr:colOff>2390775</xdr:colOff>
                    <xdr:row>43</xdr:row>
                    <xdr:rowOff>9525</xdr:rowOff>
                  </to>
                </anchor>
              </controlPr>
            </control>
          </mc:Choice>
        </mc:AlternateContent>
        <mc:AlternateContent xmlns:mc="http://schemas.openxmlformats.org/markup-compatibility/2006">
          <mc:Choice Requires="x14">
            <control shapeId="1186" r:id="rId20" name="Group Box 162">
              <controlPr defaultSize="0" autoFill="0" autoPict="0">
                <anchor moveWithCells="1">
                  <from>
                    <xdr:col>4</xdr:col>
                    <xdr:colOff>9525</xdr:colOff>
                    <xdr:row>29</xdr:row>
                    <xdr:rowOff>0</xdr:rowOff>
                  </from>
                  <to>
                    <xdr:col>4</xdr:col>
                    <xdr:colOff>2705100</xdr:colOff>
                    <xdr:row>33</xdr:row>
                    <xdr:rowOff>28575</xdr:rowOff>
                  </to>
                </anchor>
              </controlPr>
            </control>
          </mc:Choice>
        </mc:AlternateContent>
        <mc:AlternateContent xmlns:mc="http://schemas.openxmlformats.org/markup-compatibility/2006">
          <mc:Choice Requires="x14">
            <control shapeId="1187" r:id="rId21" name="Group Box 163">
              <controlPr defaultSize="0" autoFill="0" autoPict="0">
                <anchor moveWithCells="1">
                  <from>
                    <xdr:col>4</xdr:col>
                    <xdr:colOff>0</xdr:colOff>
                    <xdr:row>41</xdr:row>
                    <xdr:rowOff>0</xdr:rowOff>
                  </from>
                  <to>
                    <xdr:col>4</xdr:col>
                    <xdr:colOff>2695575</xdr:colOff>
                    <xdr:row>45</xdr:row>
                    <xdr:rowOff>28575</xdr:rowOff>
                  </to>
                </anchor>
              </controlPr>
            </control>
          </mc:Choice>
        </mc:AlternateContent>
        <mc:AlternateContent xmlns:mc="http://schemas.openxmlformats.org/markup-compatibility/2006">
          <mc:Choice Requires="x14">
            <control shapeId="1188" r:id="rId22" name="Option Button 164">
              <controlPr defaultSize="0" autoFill="0" autoLine="0" autoPict="0">
                <anchor moveWithCells="1">
                  <from>
                    <xdr:col>2</xdr:col>
                    <xdr:colOff>19050</xdr:colOff>
                    <xdr:row>47</xdr:row>
                    <xdr:rowOff>180975</xdr:rowOff>
                  </from>
                  <to>
                    <xdr:col>2</xdr:col>
                    <xdr:colOff>2428875</xdr:colOff>
                    <xdr:row>49</xdr:row>
                    <xdr:rowOff>19050</xdr:rowOff>
                  </to>
                </anchor>
              </controlPr>
            </control>
          </mc:Choice>
        </mc:AlternateContent>
        <mc:AlternateContent xmlns:mc="http://schemas.openxmlformats.org/markup-compatibility/2006">
          <mc:Choice Requires="x14">
            <control shapeId="1190" r:id="rId23" name="Group Box 166">
              <controlPr defaultSize="0" autoFill="0" autoPict="0">
                <anchor moveWithCells="1">
                  <from>
                    <xdr:col>2</xdr:col>
                    <xdr:colOff>0</xdr:colOff>
                    <xdr:row>47</xdr:row>
                    <xdr:rowOff>0</xdr:rowOff>
                  </from>
                  <to>
                    <xdr:col>2</xdr:col>
                    <xdr:colOff>2695575</xdr:colOff>
                    <xdr:row>51</xdr:row>
                    <xdr:rowOff>28575</xdr:rowOff>
                  </to>
                </anchor>
              </controlPr>
            </control>
          </mc:Choice>
        </mc:AlternateContent>
        <mc:AlternateContent xmlns:mc="http://schemas.openxmlformats.org/markup-compatibility/2006">
          <mc:Choice Requires="x14">
            <control shapeId="1191" r:id="rId24" name="Option Button 167">
              <controlPr defaultSize="0" autoFill="0" autoLine="0" autoPict="0">
                <anchor moveWithCells="1">
                  <from>
                    <xdr:col>4</xdr:col>
                    <xdr:colOff>47625</xdr:colOff>
                    <xdr:row>47</xdr:row>
                    <xdr:rowOff>180975</xdr:rowOff>
                  </from>
                  <to>
                    <xdr:col>4</xdr:col>
                    <xdr:colOff>2505075</xdr:colOff>
                    <xdr:row>49</xdr:row>
                    <xdr:rowOff>9525</xdr:rowOff>
                  </to>
                </anchor>
              </controlPr>
            </control>
          </mc:Choice>
        </mc:AlternateContent>
        <mc:AlternateContent xmlns:mc="http://schemas.openxmlformats.org/markup-compatibility/2006">
          <mc:Choice Requires="x14">
            <control shapeId="1195" r:id="rId25" name="Group Box 171">
              <controlPr defaultSize="0" autoFill="0" autoPict="0">
                <anchor moveWithCells="1">
                  <from>
                    <xdr:col>4</xdr:col>
                    <xdr:colOff>0</xdr:colOff>
                    <xdr:row>47</xdr:row>
                    <xdr:rowOff>0</xdr:rowOff>
                  </from>
                  <to>
                    <xdr:col>4</xdr:col>
                    <xdr:colOff>2695575</xdr:colOff>
                    <xdr:row>51</xdr:row>
                    <xdr:rowOff>28575</xdr:rowOff>
                  </to>
                </anchor>
              </controlPr>
            </control>
          </mc:Choice>
        </mc:AlternateContent>
        <mc:AlternateContent xmlns:mc="http://schemas.openxmlformats.org/markup-compatibility/2006">
          <mc:Choice Requires="x14">
            <control shapeId="1197" r:id="rId26" name="Option Button 173">
              <controlPr defaultSize="0" autoFill="0" autoLine="0" autoPict="0">
                <anchor moveWithCells="1">
                  <from>
                    <xdr:col>2</xdr:col>
                    <xdr:colOff>19050</xdr:colOff>
                    <xdr:row>53</xdr:row>
                    <xdr:rowOff>180975</xdr:rowOff>
                  </from>
                  <to>
                    <xdr:col>2</xdr:col>
                    <xdr:colOff>2295525</xdr:colOff>
                    <xdr:row>55</xdr:row>
                    <xdr:rowOff>9525</xdr:rowOff>
                  </to>
                </anchor>
              </controlPr>
            </control>
          </mc:Choice>
        </mc:AlternateContent>
        <mc:AlternateContent xmlns:mc="http://schemas.openxmlformats.org/markup-compatibility/2006">
          <mc:Choice Requires="x14">
            <control shapeId="1200" r:id="rId27" name="Group Box 176">
              <controlPr defaultSize="0" autoFill="0" autoPict="0">
                <anchor moveWithCells="1">
                  <from>
                    <xdr:col>2</xdr:col>
                    <xdr:colOff>0</xdr:colOff>
                    <xdr:row>53</xdr:row>
                    <xdr:rowOff>0</xdr:rowOff>
                  </from>
                  <to>
                    <xdr:col>2</xdr:col>
                    <xdr:colOff>2695575</xdr:colOff>
                    <xdr:row>57</xdr:row>
                    <xdr:rowOff>28575</xdr:rowOff>
                  </to>
                </anchor>
              </controlPr>
            </control>
          </mc:Choice>
        </mc:AlternateContent>
        <mc:AlternateContent xmlns:mc="http://schemas.openxmlformats.org/markup-compatibility/2006">
          <mc:Choice Requires="x14">
            <control shapeId="1201" r:id="rId28" name="Option Button 177">
              <controlPr defaultSize="0" autoFill="0" autoLine="0" autoPict="0">
                <anchor moveWithCells="1">
                  <from>
                    <xdr:col>4</xdr:col>
                    <xdr:colOff>66675</xdr:colOff>
                    <xdr:row>53</xdr:row>
                    <xdr:rowOff>171450</xdr:rowOff>
                  </from>
                  <to>
                    <xdr:col>4</xdr:col>
                    <xdr:colOff>2409825</xdr:colOff>
                    <xdr:row>55</xdr:row>
                    <xdr:rowOff>9525</xdr:rowOff>
                  </to>
                </anchor>
              </controlPr>
            </control>
          </mc:Choice>
        </mc:AlternateContent>
        <mc:AlternateContent xmlns:mc="http://schemas.openxmlformats.org/markup-compatibility/2006">
          <mc:Choice Requires="x14">
            <control shapeId="1205" r:id="rId29" name="Group Box 181">
              <controlPr defaultSize="0" autoFill="0" autoPict="0">
                <anchor moveWithCells="1">
                  <from>
                    <xdr:col>4</xdr:col>
                    <xdr:colOff>0</xdr:colOff>
                    <xdr:row>53</xdr:row>
                    <xdr:rowOff>0</xdr:rowOff>
                  </from>
                  <to>
                    <xdr:col>4</xdr:col>
                    <xdr:colOff>2695575</xdr:colOff>
                    <xdr:row>57</xdr:row>
                    <xdr:rowOff>28575</xdr:rowOff>
                  </to>
                </anchor>
              </controlPr>
            </control>
          </mc:Choice>
        </mc:AlternateContent>
        <mc:AlternateContent xmlns:mc="http://schemas.openxmlformats.org/markup-compatibility/2006">
          <mc:Choice Requires="x14">
            <control shapeId="1206" r:id="rId30" name="Option Button 182">
              <controlPr defaultSize="0" autoFill="0" autoLine="0" autoPict="0">
                <anchor moveWithCells="1">
                  <from>
                    <xdr:col>2</xdr:col>
                    <xdr:colOff>66675</xdr:colOff>
                    <xdr:row>143</xdr:row>
                    <xdr:rowOff>171450</xdr:rowOff>
                  </from>
                  <to>
                    <xdr:col>2</xdr:col>
                    <xdr:colOff>2447925</xdr:colOff>
                    <xdr:row>145</xdr:row>
                    <xdr:rowOff>0</xdr:rowOff>
                  </to>
                </anchor>
              </controlPr>
            </control>
          </mc:Choice>
        </mc:AlternateContent>
        <mc:AlternateContent xmlns:mc="http://schemas.openxmlformats.org/markup-compatibility/2006">
          <mc:Choice Requires="x14">
            <control shapeId="1216" r:id="rId31" name="Group Box 192">
              <controlPr defaultSize="0" autoFill="0" autoPict="0">
                <anchor moveWithCells="1">
                  <from>
                    <xdr:col>2</xdr:col>
                    <xdr:colOff>0</xdr:colOff>
                    <xdr:row>143</xdr:row>
                    <xdr:rowOff>0</xdr:rowOff>
                  </from>
                  <to>
                    <xdr:col>2</xdr:col>
                    <xdr:colOff>2695575</xdr:colOff>
                    <xdr:row>156</xdr:row>
                    <xdr:rowOff>66675</xdr:rowOff>
                  </to>
                </anchor>
              </controlPr>
            </control>
          </mc:Choice>
        </mc:AlternateContent>
        <mc:AlternateContent xmlns:mc="http://schemas.openxmlformats.org/markup-compatibility/2006">
          <mc:Choice Requires="x14">
            <control shapeId="1237" r:id="rId32" name="Option Button 213">
              <controlPr defaultSize="0" autoFill="0" autoLine="0" autoPict="0">
                <anchor moveWithCells="1">
                  <from>
                    <xdr:col>2</xdr:col>
                    <xdr:colOff>66675</xdr:colOff>
                    <xdr:row>144</xdr:row>
                    <xdr:rowOff>171450</xdr:rowOff>
                  </from>
                  <to>
                    <xdr:col>2</xdr:col>
                    <xdr:colOff>2371725</xdr:colOff>
                    <xdr:row>146</xdr:row>
                    <xdr:rowOff>0</xdr:rowOff>
                  </to>
                </anchor>
              </controlPr>
            </control>
          </mc:Choice>
        </mc:AlternateContent>
        <mc:AlternateContent xmlns:mc="http://schemas.openxmlformats.org/markup-compatibility/2006">
          <mc:Choice Requires="x14">
            <control shapeId="1238" r:id="rId33" name="Option Button 214">
              <controlPr defaultSize="0" autoFill="0" autoLine="0" autoPict="0">
                <anchor moveWithCells="1">
                  <from>
                    <xdr:col>2</xdr:col>
                    <xdr:colOff>66675</xdr:colOff>
                    <xdr:row>145</xdr:row>
                    <xdr:rowOff>171450</xdr:rowOff>
                  </from>
                  <to>
                    <xdr:col>2</xdr:col>
                    <xdr:colOff>2457450</xdr:colOff>
                    <xdr:row>147</xdr:row>
                    <xdr:rowOff>0</xdr:rowOff>
                  </to>
                </anchor>
              </controlPr>
            </control>
          </mc:Choice>
        </mc:AlternateContent>
        <mc:AlternateContent xmlns:mc="http://schemas.openxmlformats.org/markup-compatibility/2006">
          <mc:Choice Requires="x14">
            <control shapeId="1239" r:id="rId34" name="Option Button 215">
              <controlPr defaultSize="0" autoFill="0" autoLine="0" autoPict="0">
                <anchor moveWithCells="1">
                  <from>
                    <xdr:col>2</xdr:col>
                    <xdr:colOff>66675</xdr:colOff>
                    <xdr:row>146</xdr:row>
                    <xdr:rowOff>171450</xdr:rowOff>
                  </from>
                  <to>
                    <xdr:col>2</xdr:col>
                    <xdr:colOff>2466975</xdr:colOff>
                    <xdr:row>148</xdr:row>
                    <xdr:rowOff>0</xdr:rowOff>
                  </to>
                </anchor>
              </controlPr>
            </control>
          </mc:Choice>
        </mc:AlternateContent>
        <mc:AlternateContent xmlns:mc="http://schemas.openxmlformats.org/markup-compatibility/2006">
          <mc:Choice Requires="x14">
            <control shapeId="1240" r:id="rId35" name="Option Button 216">
              <controlPr defaultSize="0" autoFill="0" autoLine="0" autoPict="0">
                <anchor moveWithCells="1">
                  <from>
                    <xdr:col>2</xdr:col>
                    <xdr:colOff>66675</xdr:colOff>
                    <xdr:row>147</xdr:row>
                    <xdr:rowOff>171450</xdr:rowOff>
                  </from>
                  <to>
                    <xdr:col>2</xdr:col>
                    <xdr:colOff>2390775</xdr:colOff>
                    <xdr:row>149</xdr:row>
                    <xdr:rowOff>0</xdr:rowOff>
                  </to>
                </anchor>
              </controlPr>
            </control>
          </mc:Choice>
        </mc:AlternateContent>
        <mc:AlternateContent xmlns:mc="http://schemas.openxmlformats.org/markup-compatibility/2006">
          <mc:Choice Requires="x14">
            <control shapeId="1241" r:id="rId36" name="Option Button 217">
              <controlPr defaultSize="0" autoFill="0" autoLine="0" autoPict="0">
                <anchor moveWithCells="1">
                  <from>
                    <xdr:col>2</xdr:col>
                    <xdr:colOff>66675</xdr:colOff>
                    <xdr:row>148</xdr:row>
                    <xdr:rowOff>171450</xdr:rowOff>
                  </from>
                  <to>
                    <xdr:col>2</xdr:col>
                    <xdr:colOff>2362200</xdr:colOff>
                    <xdr:row>150</xdr:row>
                    <xdr:rowOff>0</xdr:rowOff>
                  </to>
                </anchor>
              </controlPr>
            </control>
          </mc:Choice>
        </mc:AlternateContent>
        <mc:AlternateContent xmlns:mc="http://schemas.openxmlformats.org/markup-compatibility/2006">
          <mc:Choice Requires="x14">
            <control shapeId="1242" r:id="rId37" name="Option Button 218">
              <controlPr defaultSize="0" autoFill="0" autoLine="0" autoPict="0">
                <anchor moveWithCells="1">
                  <from>
                    <xdr:col>2</xdr:col>
                    <xdr:colOff>66675</xdr:colOff>
                    <xdr:row>149</xdr:row>
                    <xdr:rowOff>171450</xdr:rowOff>
                  </from>
                  <to>
                    <xdr:col>2</xdr:col>
                    <xdr:colOff>2438400</xdr:colOff>
                    <xdr:row>151</xdr:row>
                    <xdr:rowOff>0</xdr:rowOff>
                  </to>
                </anchor>
              </controlPr>
            </control>
          </mc:Choice>
        </mc:AlternateContent>
        <mc:AlternateContent xmlns:mc="http://schemas.openxmlformats.org/markup-compatibility/2006">
          <mc:Choice Requires="x14">
            <control shapeId="1243" r:id="rId38" name="Option Button 219">
              <controlPr defaultSize="0" autoFill="0" autoLine="0" autoPict="0">
                <anchor moveWithCells="1">
                  <from>
                    <xdr:col>2</xdr:col>
                    <xdr:colOff>66675</xdr:colOff>
                    <xdr:row>150</xdr:row>
                    <xdr:rowOff>171450</xdr:rowOff>
                  </from>
                  <to>
                    <xdr:col>2</xdr:col>
                    <xdr:colOff>2400300</xdr:colOff>
                    <xdr:row>152</xdr:row>
                    <xdr:rowOff>0</xdr:rowOff>
                  </to>
                </anchor>
              </controlPr>
            </control>
          </mc:Choice>
        </mc:AlternateContent>
        <mc:AlternateContent xmlns:mc="http://schemas.openxmlformats.org/markup-compatibility/2006">
          <mc:Choice Requires="x14">
            <control shapeId="1244" r:id="rId39" name="Option Button 220">
              <controlPr defaultSize="0" autoFill="0" autoLine="0" autoPict="0">
                <anchor moveWithCells="1">
                  <from>
                    <xdr:col>2</xdr:col>
                    <xdr:colOff>66675</xdr:colOff>
                    <xdr:row>151</xdr:row>
                    <xdr:rowOff>171450</xdr:rowOff>
                  </from>
                  <to>
                    <xdr:col>2</xdr:col>
                    <xdr:colOff>2409825</xdr:colOff>
                    <xdr:row>153</xdr:row>
                    <xdr:rowOff>0</xdr:rowOff>
                  </to>
                </anchor>
              </controlPr>
            </control>
          </mc:Choice>
        </mc:AlternateContent>
        <mc:AlternateContent xmlns:mc="http://schemas.openxmlformats.org/markup-compatibility/2006">
          <mc:Choice Requires="x14">
            <control shapeId="1253" r:id="rId40" name="Option Button 229">
              <controlPr defaultSize="0" autoFill="0" autoLine="0" autoPict="0">
                <anchor moveWithCells="1">
                  <from>
                    <xdr:col>2</xdr:col>
                    <xdr:colOff>66675</xdr:colOff>
                    <xdr:row>152</xdr:row>
                    <xdr:rowOff>171450</xdr:rowOff>
                  </from>
                  <to>
                    <xdr:col>2</xdr:col>
                    <xdr:colOff>2362200</xdr:colOff>
                    <xdr:row>154</xdr:row>
                    <xdr:rowOff>0</xdr:rowOff>
                  </to>
                </anchor>
              </controlPr>
            </control>
          </mc:Choice>
        </mc:AlternateContent>
        <mc:AlternateContent xmlns:mc="http://schemas.openxmlformats.org/markup-compatibility/2006">
          <mc:Choice Requires="x14">
            <control shapeId="1254" r:id="rId41" name="Option Button 230">
              <controlPr defaultSize="0" autoFill="0" autoLine="0" autoPict="0">
                <anchor moveWithCells="1">
                  <from>
                    <xdr:col>2</xdr:col>
                    <xdr:colOff>66675</xdr:colOff>
                    <xdr:row>153</xdr:row>
                    <xdr:rowOff>171450</xdr:rowOff>
                  </from>
                  <to>
                    <xdr:col>2</xdr:col>
                    <xdr:colOff>2419350</xdr:colOff>
                    <xdr:row>155</xdr:row>
                    <xdr:rowOff>0</xdr:rowOff>
                  </to>
                </anchor>
              </controlPr>
            </control>
          </mc:Choice>
        </mc:AlternateContent>
        <mc:AlternateContent xmlns:mc="http://schemas.openxmlformats.org/markup-compatibility/2006">
          <mc:Choice Requires="x14">
            <control shapeId="1259" r:id="rId42" name="Option Button 235">
              <controlPr defaultSize="0" autoFill="0" autoLine="0" autoPict="0">
                <anchor moveWithCells="1">
                  <from>
                    <xdr:col>2</xdr:col>
                    <xdr:colOff>66675</xdr:colOff>
                    <xdr:row>154</xdr:row>
                    <xdr:rowOff>171450</xdr:rowOff>
                  </from>
                  <to>
                    <xdr:col>2</xdr:col>
                    <xdr:colOff>2466975</xdr:colOff>
                    <xdr:row>156</xdr:row>
                    <xdr:rowOff>0</xdr:rowOff>
                  </to>
                </anchor>
              </controlPr>
            </control>
          </mc:Choice>
        </mc:AlternateContent>
        <mc:AlternateContent xmlns:mc="http://schemas.openxmlformats.org/markup-compatibility/2006">
          <mc:Choice Requires="x14">
            <control shapeId="1263" r:id="rId43" name="Option Button 239">
              <controlPr defaultSize="0" autoFill="0" autoLine="0" autoPict="0">
                <anchor moveWithCells="1">
                  <from>
                    <xdr:col>2</xdr:col>
                    <xdr:colOff>85725</xdr:colOff>
                    <xdr:row>158</xdr:row>
                    <xdr:rowOff>180975</xdr:rowOff>
                  </from>
                  <to>
                    <xdr:col>2</xdr:col>
                    <xdr:colOff>2486025</xdr:colOff>
                    <xdr:row>160</xdr:row>
                    <xdr:rowOff>9525</xdr:rowOff>
                  </to>
                </anchor>
              </controlPr>
            </control>
          </mc:Choice>
        </mc:AlternateContent>
        <mc:AlternateContent xmlns:mc="http://schemas.openxmlformats.org/markup-compatibility/2006">
          <mc:Choice Requires="x14">
            <control shapeId="1273" r:id="rId44" name="Option Button 249">
              <controlPr defaultSize="0" autoFill="0" autoLine="0" autoPict="0">
                <anchor moveWithCells="1">
                  <from>
                    <xdr:col>2</xdr:col>
                    <xdr:colOff>85725</xdr:colOff>
                    <xdr:row>159</xdr:row>
                    <xdr:rowOff>180975</xdr:rowOff>
                  </from>
                  <to>
                    <xdr:col>2</xdr:col>
                    <xdr:colOff>2457450</xdr:colOff>
                    <xdr:row>161</xdr:row>
                    <xdr:rowOff>9525</xdr:rowOff>
                  </to>
                </anchor>
              </controlPr>
            </control>
          </mc:Choice>
        </mc:AlternateContent>
        <mc:AlternateContent xmlns:mc="http://schemas.openxmlformats.org/markup-compatibility/2006">
          <mc:Choice Requires="x14">
            <control shapeId="1274" r:id="rId45" name="Option Button 250">
              <controlPr defaultSize="0" autoFill="0" autoLine="0" autoPict="0">
                <anchor moveWithCells="1">
                  <from>
                    <xdr:col>2</xdr:col>
                    <xdr:colOff>85725</xdr:colOff>
                    <xdr:row>160</xdr:row>
                    <xdr:rowOff>180975</xdr:rowOff>
                  </from>
                  <to>
                    <xdr:col>2</xdr:col>
                    <xdr:colOff>2295525</xdr:colOff>
                    <xdr:row>162</xdr:row>
                    <xdr:rowOff>9525</xdr:rowOff>
                  </to>
                </anchor>
              </controlPr>
            </control>
          </mc:Choice>
        </mc:AlternateContent>
        <mc:AlternateContent xmlns:mc="http://schemas.openxmlformats.org/markup-compatibility/2006">
          <mc:Choice Requires="x14">
            <control shapeId="1275" r:id="rId46" name="Option Button 251">
              <controlPr defaultSize="0" autoFill="0" autoLine="0" autoPict="0">
                <anchor moveWithCells="1">
                  <from>
                    <xdr:col>2</xdr:col>
                    <xdr:colOff>85725</xdr:colOff>
                    <xdr:row>161</xdr:row>
                    <xdr:rowOff>180975</xdr:rowOff>
                  </from>
                  <to>
                    <xdr:col>2</xdr:col>
                    <xdr:colOff>2390775</xdr:colOff>
                    <xdr:row>163</xdr:row>
                    <xdr:rowOff>9525</xdr:rowOff>
                  </to>
                </anchor>
              </controlPr>
            </control>
          </mc:Choice>
        </mc:AlternateContent>
        <mc:AlternateContent xmlns:mc="http://schemas.openxmlformats.org/markup-compatibility/2006">
          <mc:Choice Requires="x14">
            <control shapeId="1276" r:id="rId47" name="Option Button 252">
              <controlPr defaultSize="0" autoFill="0" autoLine="0" autoPict="0">
                <anchor moveWithCells="1">
                  <from>
                    <xdr:col>2</xdr:col>
                    <xdr:colOff>85725</xdr:colOff>
                    <xdr:row>162</xdr:row>
                    <xdr:rowOff>180975</xdr:rowOff>
                  </from>
                  <to>
                    <xdr:col>2</xdr:col>
                    <xdr:colOff>2286000</xdr:colOff>
                    <xdr:row>164</xdr:row>
                    <xdr:rowOff>9525</xdr:rowOff>
                  </to>
                </anchor>
              </controlPr>
            </control>
          </mc:Choice>
        </mc:AlternateContent>
        <mc:AlternateContent xmlns:mc="http://schemas.openxmlformats.org/markup-compatibility/2006">
          <mc:Choice Requires="x14">
            <control shapeId="1277" r:id="rId48" name="Group Box 253">
              <controlPr defaultSize="0" autoFill="0" autoPict="0">
                <anchor moveWithCells="1">
                  <from>
                    <xdr:col>2</xdr:col>
                    <xdr:colOff>9525</xdr:colOff>
                    <xdr:row>158</xdr:row>
                    <xdr:rowOff>57150</xdr:rowOff>
                  </from>
                  <to>
                    <xdr:col>2</xdr:col>
                    <xdr:colOff>2705100</xdr:colOff>
                    <xdr:row>164</xdr:row>
                    <xdr:rowOff>66675</xdr:rowOff>
                  </to>
                </anchor>
              </controlPr>
            </control>
          </mc:Choice>
        </mc:AlternateContent>
        <mc:AlternateContent xmlns:mc="http://schemas.openxmlformats.org/markup-compatibility/2006">
          <mc:Choice Requires="x14">
            <control shapeId="1278" r:id="rId49" name="Option Button 254">
              <controlPr defaultSize="0" autoFill="0" autoLine="0" autoPict="0">
                <anchor moveWithCells="1">
                  <from>
                    <xdr:col>2</xdr:col>
                    <xdr:colOff>0</xdr:colOff>
                    <xdr:row>21</xdr:row>
                    <xdr:rowOff>9525</xdr:rowOff>
                  </from>
                  <to>
                    <xdr:col>2</xdr:col>
                    <xdr:colOff>2600325</xdr:colOff>
                    <xdr:row>21</xdr:row>
                    <xdr:rowOff>190500</xdr:rowOff>
                  </to>
                </anchor>
              </controlPr>
            </control>
          </mc:Choice>
        </mc:AlternateContent>
        <mc:AlternateContent xmlns:mc="http://schemas.openxmlformats.org/markup-compatibility/2006">
          <mc:Choice Requires="x14">
            <control shapeId="1279" r:id="rId50" name="Option Button 255">
              <controlPr defaultSize="0" autoFill="0" autoLine="0" autoPict="0">
                <anchor moveWithCells="1">
                  <from>
                    <xdr:col>2</xdr:col>
                    <xdr:colOff>0</xdr:colOff>
                    <xdr:row>22</xdr:row>
                    <xdr:rowOff>9525</xdr:rowOff>
                  </from>
                  <to>
                    <xdr:col>2</xdr:col>
                    <xdr:colOff>2628900</xdr:colOff>
                    <xdr:row>22</xdr:row>
                    <xdr:rowOff>190500</xdr:rowOff>
                  </to>
                </anchor>
              </controlPr>
            </control>
          </mc:Choice>
        </mc:AlternateContent>
        <mc:AlternateContent xmlns:mc="http://schemas.openxmlformats.org/markup-compatibility/2006">
          <mc:Choice Requires="x14">
            <control shapeId="1280" r:id="rId51" name="Option Button 256">
              <controlPr defaultSize="0" autoFill="0" autoLine="0" autoPict="0">
                <anchor moveWithCells="1">
                  <from>
                    <xdr:col>2</xdr:col>
                    <xdr:colOff>19050</xdr:colOff>
                    <xdr:row>31</xdr:row>
                    <xdr:rowOff>0</xdr:rowOff>
                  </from>
                  <to>
                    <xdr:col>2</xdr:col>
                    <xdr:colOff>2362200</xdr:colOff>
                    <xdr:row>31</xdr:row>
                    <xdr:rowOff>180975</xdr:rowOff>
                  </to>
                </anchor>
              </controlPr>
            </control>
          </mc:Choice>
        </mc:AlternateContent>
        <mc:AlternateContent xmlns:mc="http://schemas.openxmlformats.org/markup-compatibility/2006">
          <mc:Choice Requires="x14">
            <control shapeId="1282" r:id="rId52" name="Option Button 258">
              <controlPr defaultSize="0" autoFill="0" autoLine="0" autoPict="0">
                <anchor moveWithCells="1">
                  <from>
                    <xdr:col>4</xdr:col>
                    <xdr:colOff>28575</xdr:colOff>
                    <xdr:row>30</xdr:row>
                    <xdr:rowOff>171450</xdr:rowOff>
                  </from>
                  <to>
                    <xdr:col>4</xdr:col>
                    <xdr:colOff>2476500</xdr:colOff>
                    <xdr:row>32</xdr:row>
                    <xdr:rowOff>0</xdr:rowOff>
                  </to>
                </anchor>
              </controlPr>
            </control>
          </mc:Choice>
        </mc:AlternateContent>
        <mc:AlternateContent xmlns:mc="http://schemas.openxmlformats.org/markup-compatibility/2006">
          <mc:Choice Requires="x14">
            <control shapeId="1283" r:id="rId53" name="Option Button 259">
              <controlPr defaultSize="0" autoFill="0" autoLine="0" autoPict="0">
                <anchor moveWithCells="1">
                  <from>
                    <xdr:col>4</xdr:col>
                    <xdr:colOff>28575</xdr:colOff>
                    <xdr:row>31</xdr:row>
                    <xdr:rowOff>171450</xdr:rowOff>
                  </from>
                  <to>
                    <xdr:col>4</xdr:col>
                    <xdr:colOff>2371725</xdr:colOff>
                    <xdr:row>33</xdr:row>
                    <xdr:rowOff>0</xdr:rowOff>
                  </to>
                </anchor>
              </controlPr>
            </control>
          </mc:Choice>
        </mc:AlternateContent>
        <mc:AlternateContent xmlns:mc="http://schemas.openxmlformats.org/markup-compatibility/2006">
          <mc:Choice Requires="x14">
            <control shapeId="1287" r:id="rId54" name="Option Button 263">
              <controlPr defaultSize="0" autoFill="0" autoLine="0" autoPict="0">
                <anchor moveWithCells="1">
                  <from>
                    <xdr:col>2</xdr:col>
                    <xdr:colOff>19050</xdr:colOff>
                    <xdr:row>43</xdr:row>
                    <xdr:rowOff>9525</xdr:rowOff>
                  </from>
                  <to>
                    <xdr:col>2</xdr:col>
                    <xdr:colOff>2552700</xdr:colOff>
                    <xdr:row>44</xdr:row>
                    <xdr:rowOff>0</xdr:rowOff>
                  </to>
                </anchor>
              </controlPr>
            </control>
          </mc:Choice>
        </mc:AlternateContent>
        <mc:AlternateContent xmlns:mc="http://schemas.openxmlformats.org/markup-compatibility/2006">
          <mc:Choice Requires="x14">
            <control shapeId="1288" r:id="rId55" name="Option Button 264">
              <controlPr defaultSize="0" autoFill="0" autoLine="0" autoPict="0">
                <anchor moveWithCells="1">
                  <from>
                    <xdr:col>4</xdr:col>
                    <xdr:colOff>38100</xdr:colOff>
                    <xdr:row>42</xdr:row>
                    <xdr:rowOff>171450</xdr:rowOff>
                  </from>
                  <to>
                    <xdr:col>4</xdr:col>
                    <xdr:colOff>2533650</xdr:colOff>
                    <xdr:row>44</xdr:row>
                    <xdr:rowOff>9525</xdr:rowOff>
                  </to>
                </anchor>
              </controlPr>
            </control>
          </mc:Choice>
        </mc:AlternateContent>
        <mc:AlternateContent xmlns:mc="http://schemas.openxmlformats.org/markup-compatibility/2006">
          <mc:Choice Requires="x14">
            <control shapeId="1289" r:id="rId56" name="Option Button 265">
              <controlPr defaultSize="0" autoFill="0" autoLine="0" autoPict="0">
                <anchor moveWithCells="1">
                  <from>
                    <xdr:col>4</xdr:col>
                    <xdr:colOff>38100</xdr:colOff>
                    <xdr:row>43</xdr:row>
                    <xdr:rowOff>171450</xdr:rowOff>
                  </from>
                  <to>
                    <xdr:col>4</xdr:col>
                    <xdr:colOff>2571750</xdr:colOff>
                    <xdr:row>45</xdr:row>
                    <xdr:rowOff>9525</xdr:rowOff>
                  </to>
                </anchor>
              </controlPr>
            </control>
          </mc:Choice>
        </mc:AlternateContent>
        <mc:AlternateContent xmlns:mc="http://schemas.openxmlformats.org/markup-compatibility/2006">
          <mc:Choice Requires="x14">
            <control shapeId="1292" r:id="rId57" name="Option Button 268">
              <controlPr defaultSize="0" autoFill="0" autoLine="0" autoPict="0">
                <anchor moveWithCells="1">
                  <from>
                    <xdr:col>2</xdr:col>
                    <xdr:colOff>19050</xdr:colOff>
                    <xdr:row>48</xdr:row>
                    <xdr:rowOff>180975</xdr:rowOff>
                  </from>
                  <to>
                    <xdr:col>2</xdr:col>
                    <xdr:colOff>2486025</xdr:colOff>
                    <xdr:row>50</xdr:row>
                    <xdr:rowOff>19050</xdr:rowOff>
                  </to>
                </anchor>
              </controlPr>
            </control>
          </mc:Choice>
        </mc:AlternateContent>
        <mc:AlternateContent xmlns:mc="http://schemas.openxmlformats.org/markup-compatibility/2006">
          <mc:Choice Requires="x14">
            <control shapeId="1293" r:id="rId58" name="Option Button 269">
              <controlPr defaultSize="0" autoFill="0" autoLine="0" autoPict="0">
                <anchor moveWithCells="1">
                  <from>
                    <xdr:col>4</xdr:col>
                    <xdr:colOff>47625</xdr:colOff>
                    <xdr:row>48</xdr:row>
                    <xdr:rowOff>180975</xdr:rowOff>
                  </from>
                  <to>
                    <xdr:col>4</xdr:col>
                    <xdr:colOff>2600325</xdr:colOff>
                    <xdr:row>50</xdr:row>
                    <xdr:rowOff>9525</xdr:rowOff>
                  </to>
                </anchor>
              </controlPr>
            </control>
          </mc:Choice>
        </mc:AlternateContent>
        <mc:AlternateContent xmlns:mc="http://schemas.openxmlformats.org/markup-compatibility/2006">
          <mc:Choice Requires="x14">
            <control shapeId="1294" r:id="rId59" name="Option Button 270">
              <controlPr defaultSize="0" autoFill="0" autoLine="0" autoPict="0">
                <anchor moveWithCells="1">
                  <from>
                    <xdr:col>4</xdr:col>
                    <xdr:colOff>47625</xdr:colOff>
                    <xdr:row>49</xdr:row>
                    <xdr:rowOff>180975</xdr:rowOff>
                  </from>
                  <to>
                    <xdr:col>4</xdr:col>
                    <xdr:colOff>2638425</xdr:colOff>
                    <xdr:row>51</xdr:row>
                    <xdr:rowOff>9525</xdr:rowOff>
                  </to>
                </anchor>
              </controlPr>
            </control>
          </mc:Choice>
        </mc:AlternateContent>
        <mc:AlternateContent xmlns:mc="http://schemas.openxmlformats.org/markup-compatibility/2006">
          <mc:Choice Requires="x14">
            <control shapeId="1300" r:id="rId60" name="Option Button 276">
              <controlPr defaultSize="0" autoFill="0" autoLine="0" autoPict="0">
                <anchor moveWithCells="1">
                  <from>
                    <xdr:col>2</xdr:col>
                    <xdr:colOff>19050</xdr:colOff>
                    <xdr:row>54</xdr:row>
                    <xdr:rowOff>180975</xdr:rowOff>
                  </from>
                  <to>
                    <xdr:col>2</xdr:col>
                    <xdr:colOff>2505075</xdr:colOff>
                    <xdr:row>56</xdr:row>
                    <xdr:rowOff>28575</xdr:rowOff>
                  </to>
                </anchor>
              </controlPr>
            </control>
          </mc:Choice>
        </mc:AlternateContent>
        <mc:AlternateContent xmlns:mc="http://schemas.openxmlformats.org/markup-compatibility/2006">
          <mc:Choice Requires="x14">
            <control shapeId="1302" r:id="rId61" name="Option Button 278">
              <controlPr defaultSize="0" autoFill="0" autoLine="0" autoPict="0">
                <anchor moveWithCells="1">
                  <from>
                    <xdr:col>4</xdr:col>
                    <xdr:colOff>66675</xdr:colOff>
                    <xdr:row>54</xdr:row>
                    <xdr:rowOff>171450</xdr:rowOff>
                  </from>
                  <to>
                    <xdr:col>4</xdr:col>
                    <xdr:colOff>2581275</xdr:colOff>
                    <xdr:row>56</xdr:row>
                    <xdr:rowOff>9525</xdr:rowOff>
                  </to>
                </anchor>
              </controlPr>
            </control>
          </mc:Choice>
        </mc:AlternateContent>
        <mc:AlternateContent xmlns:mc="http://schemas.openxmlformats.org/markup-compatibility/2006">
          <mc:Choice Requires="x14">
            <control shapeId="1303" r:id="rId62" name="Option Button 279">
              <controlPr defaultSize="0" autoFill="0" autoLine="0" autoPict="0">
                <anchor moveWithCells="1">
                  <from>
                    <xdr:col>4</xdr:col>
                    <xdr:colOff>66675</xdr:colOff>
                    <xdr:row>55</xdr:row>
                    <xdr:rowOff>171450</xdr:rowOff>
                  </from>
                  <to>
                    <xdr:col>4</xdr:col>
                    <xdr:colOff>2524125</xdr:colOff>
                    <xdr:row>57</xdr:row>
                    <xdr:rowOff>9525</xdr:rowOff>
                  </to>
                </anchor>
              </controlPr>
            </control>
          </mc:Choice>
        </mc:AlternateContent>
        <mc:AlternateContent xmlns:mc="http://schemas.openxmlformats.org/markup-compatibility/2006">
          <mc:Choice Requires="x14">
            <control shapeId="1312" r:id="rId63" name="Check Box 288">
              <controlPr defaultSize="0" autoFill="0" autoLine="0" autoPict="0" altText="Biobased">
                <anchor moveWithCells="1">
                  <from>
                    <xdr:col>2</xdr:col>
                    <xdr:colOff>0</xdr:colOff>
                    <xdr:row>71</xdr:row>
                    <xdr:rowOff>171450</xdr:rowOff>
                  </from>
                  <to>
                    <xdr:col>2</xdr:col>
                    <xdr:colOff>1962150</xdr:colOff>
                    <xdr:row>73</xdr:row>
                    <xdr:rowOff>28575</xdr:rowOff>
                  </to>
                </anchor>
              </controlPr>
            </control>
          </mc:Choice>
        </mc:AlternateContent>
        <mc:AlternateContent xmlns:mc="http://schemas.openxmlformats.org/markup-compatibility/2006">
          <mc:Choice Requires="x14">
            <control shapeId="1314" r:id="rId64" name="Check Box 290">
              <controlPr defaultSize="0" autoFill="0" autoLine="0" autoPict="0" altText="Biobased">
                <anchor moveWithCells="1">
                  <from>
                    <xdr:col>2</xdr:col>
                    <xdr:colOff>0</xdr:colOff>
                    <xdr:row>73</xdr:row>
                    <xdr:rowOff>171450</xdr:rowOff>
                  </from>
                  <to>
                    <xdr:col>2</xdr:col>
                    <xdr:colOff>1962150</xdr:colOff>
                    <xdr:row>75</xdr:row>
                    <xdr:rowOff>28575</xdr:rowOff>
                  </to>
                </anchor>
              </controlPr>
            </control>
          </mc:Choice>
        </mc:AlternateContent>
        <mc:AlternateContent xmlns:mc="http://schemas.openxmlformats.org/markup-compatibility/2006">
          <mc:Choice Requires="x14">
            <control shapeId="1316" r:id="rId65" name="Check Box 292">
              <controlPr defaultSize="0" autoFill="0" autoLine="0" autoPict="0" altText="Biobased">
                <anchor moveWithCells="1">
                  <from>
                    <xdr:col>2</xdr:col>
                    <xdr:colOff>0</xdr:colOff>
                    <xdr:row>75</xdr:row>
                    <xdr:rowOff>171450</xdr:rowOff>
                  </from>
                  <to>
                    <xdr:col>2</xdr:col>
                    <xdr:colOff>1962150</xdr:colOff>
                    <xdr:row>77</xdr:row>
                    <xdr:rowOff>28575</xdr:rowOff>
                  </to>
                </anchor>
              </controlPr>
            </control>
          </mc:Choice>
        </mc:AlternateContent>
        <mc:AlternateContent xmlns:mc="http://schemas.openxmlformats.org/markup-compatibility/2006">
          <mc:Choice Requires="x14">
            <control shapeId="1317" r:id="rId66" name="Option Button 293">
              <controlPr defaultSize="0" autoFill="0" autoLine="0" autoPict="0">
                <anchor moveWithCells="1">
                  <from>
                    <xdr:col>4</xdr:col>
                    <xdr:colOff>47625</xdr:colOff>
                    <xdr:row>143</xdr:row>
                    <xdr:rowOff>180975</xdr:rowOff>
                  </from>
                  <to>
                    <xdr:col>4</xdr:col>
                    <xdr:colOff>2552700</xdr:colOff>
                    <xdr:row>145</xdr:row>
                    <xdr:rowOff>19050</xdr:rowOff>
                  </to>
                </anchor>
              </controlPr>
            </control>
          </mc:Choice>
        </mc:AlternateContent>
        <mc:AlternateContent xmlns:mc="http://schemas.openxmlformats.org/markup-compatibility/2006">
          <mc:Choice Requires="x14">
            <control shapeId="1318" r:id="rId67" name="Option Button 294">
              <controlPr defaultSize="0" autoFill="0" autoLine="0" autoPict="0">
                <anchor moveWithCells="1">
                  <from>
                    <xdr:col>4</xdr:col>
                    <xdr:colOff>47625</xdr:colOff>
                    <xdr:row>144</xdr:row>
                    <xdr:rowOff>180975</xdr:rowOff>
                  </from>
                  <to>
                    <xdr:col>4</xdr:col>
                    <xdr:colOff>2524125</xdr:colOff>
                    <xdr:row>146</xdr:row>
                    <xdr:rowOff>19050</xdr:rowOff>
                  </to>
                </anchor>
              </controlPr>
            </control>
          </mc:Choice>
        </mc:AlternateContent>
        <mc:AlternateContent xmlns:mc="http://schemas.openxmlformats.org/markup-compatibility/2006">
          <mc:Choice Requires="x14">
            <control shapeId="1319" r:id="rId68" name="Group Box 295">
              <controlPr defaultSize="0" autoFill="0" autoPict="0">
                <anchor moveWithCells="1">
                  <from>
                    <xdr:col>4</xdr:col>
                    <xdr:colOff>0</xdr:colOff>
                    <xdr:row>143</xdr:row>
                    <xdr:rowOff>0</xdr:rowOff>
                  </from>
                  <to>
                    <xdr:col>4</xdr:col>
                    <xdr:colOff>2695575</xdr:colOff>
                    <xdr:row>148</xdr:row>
                    <xdr:rowOff>114300</xdr:rowOff>
                  </to>
                </anchor>
              </controlPr>
            </control>
          </mc:Choice>
        </mc:AlternateContent>
        <mc:AlternateContent xmlns:mc="http://schemas.openxmlformats.org/markup-compatibility/2006">
          <mc:Choice Requires="x14">
            <control shapeId="1320" r:id="rId69" name="Option Button 296">
              <controlPr defaultSize="0" autoFill="0" autoLine="0" autoPict="0">
                <anchor moveWithCells="1">
                  <from>
                    <xdr:col>4</xdr:col>
                    <xdr:colOff>47625</xdr:colOff>
                    <xdr:row>145</xdr:row>
                    <xdr:rowOff>180975</xdr:rowOff>
                  </from>
                  <to>
                    <xdr:col>4</xdr:col>
                    <xdr:colOff>2552700</xdr:colOff>
                    <xdr:row>147</xdr:row>
                    <xdr:rowOff>19050</xdr:rowOff>
                  </to>
                </anchor>
              </controlPr>
            </control>
          </mc:Choice>
        </mc:AlternateContent>
        <mc:AlternateContent xmlns:mc="http://schemas.openxmlformats.org/markup-compatibility/2006">
          <mc:Choice Requires="x14">
            <control shapeId="1321" r:id="rId70" name="Option Button 297">
              <controlPr defaultSize="0" autoFill="0" autoLine="0" autoPict="0">
                <anchor moveWithCells="1">
                  <from>
                    <xdr:col>2</xdr:col>
                    <xdr:colOff>66675</xdr:colOff>
                    <xdr:row>204</xdr:row>
                    <xdr:rowOff>180975</xdr:rowOff>
                  </from>
                  <to>
                    <xdr:col>2</xdr:col>
                    <xdr:colOff>2228850</xdr:colOff>
                    <xdr:row>206</xdr:row>
                    <xdr:rowOff>9525</xdr:rowOff>
                  </to>
                </anchor>
              </controlPr>
            </control>
          </mc:Choice>
        </mc:AlternateContent>
        <mc:AlternateContent xmlns:mc="http://schemas.openxmlformats.org/markup-compatibility/2006">
          <mc:Choice Requires="x14">
            <control shapeId="1322" r:id="rId71" name="Option Button 298">
              <controlPr defaultSize="0" autoFill="0" autoLine="0" autoPict="0">
                <anchor moveWithCells="1">
                  <from>
                    <xdr:col>2</xdr:col>
                    <xdr:colOff>66675</xdr:colOff>
                    <xdr:row>205</xdr:row>
                    <xdr:rowOff>180975</xdr:rowOff>
                  </from>
                  <to>
                    <xdr:col>2</xdr:col>
                    <xdr:colOff>2314575</xdr:colOff>
                    <xdr:row>207</xdr:row>
                    <xdr:rowOff>9525</xdr:rowOff>
                  </to>
                </anchor>
              </controlPr>
            </control>
          </mc:Choice>
        </mc:AlternateContent>
        <mc:AlternateContent xmlns:mc="http://schemas.openxmlformats.org/markup-compatibility/2006">
          <mc:Choice Requires="x14">
            <control shapeId="1323" r:id="rId72" name="Option Button 299">
              <controlPr defaultSize="0" autoFill="0" autoLine="0" autoPict="0">
                <anchor moveWithCells="1">
                  <from>
                    <xdr:col>2</xdr:col>
                    <xdr:colOff>66675</xdr:colOff>
                    <xdr:row>206</xdr:row>
                    <xdr:rowOff>180975</xdr:rowOff>
                  </from>
                  <to>
                    <xdr:col>2</xdr:col>
                    <xdr:colOff>2181225</xdr:colOff>
                    <xdr:row>208</xdr:row>
                    <xdr:rowOff>9525</xdr:rowOff>
                  </to>
                </anchor>
              </controlPr>
            </control>
          </mc:Choice>
        </mc:AlternateContent>
        <mc:AlternateContent xmlns:mc="http://schemas.openxmlformats.org/markup-compatibility/2006">
          <mc:Choice Requires="x14">
            <control shapeId="1324" r:id="rId73" name="Option Button 300">
              <controlPr defaultSize="0" autoFill="0" autoLine="0" autoPict="0">
                <anchor moveWithCells="1">
                  <from>
                    <xdr:col>2</xdr:col>
                    <xdr:colOff>66675</xdr:colOff>
                    <xdr:row>207</xdr:row>
                    <xdr:rowOff>180975</xdr:rowOff>
                  </from>
                  <to>
                    <xdr:col>2</xdr:col>
                    <xdr:colOff>2324100</xdr:colOff>
                    <xdr:row>209</xdr:row>
                    <xdr:rowOff>9525</xdr:rowOff>
                  </to>
                </anchor>
              </controlPr>
            </control>
          </mc:Choice>
        </mc:AlternateContent>
        <mc:AlternateContent xmlns:mc="http://schemas.openxmlformats.org/markup-compatibility/2006">
          <mc:Choice Requires="x14">
            <control shapeId="1325" r:id="rId74" name="Option Button 301">
              <controlPr defaultSize="0" autoFill="0" autoLine="0" autoPict="0">
                <anchor moveWithCells="1">
                  <from>
                    <xdr:col>2</xdr:col>
                    <xdr:colOff>66675</xdr:colOff>
                    <xdr:row>208</xdr:row>
                    <xdr:rowOff>180975</xdr:rowOff>
                  </from>
                  <to>
                    <xdr:col>2</xdr:col>
                    <xdr:colOff>2333625</xdr:colOff>
                    <xdr:row>210</xdr:row>
                    <xdr:rowOff>9525</xdr:rowOff>
                  </to>
                </anchor>
              </controlPr>
            </control>
          </mc:Choice>
        </mc:AlternateContent>
        <mc:AlternateContent xmlns:mc="http://schemas.openxmlformats.org/markup-compatibility/2006">
          <mc:Choice Requires="x14">
            <control shapeId="1327" r:id="rId75" name="Group Box 303">
              <controlPr defaultSize="0" autoFill="0" autoPict="0">
                <anchor moveWithCells="1">
                  <from>
                    <xdr:col>2</xdr:col>
                    <xdr:colOff>9525</xdr:colOff>
                    <xdr:row>204</xdr:row>
                    <xdr:rowOff>0</xdr:rowOff>
                  </from>
                  <to>
                    <xdr:col>2</xdr:col>
                    <xdr:colOff>2705100</xdr:colOff>
                    <xdr:row>210</xdr:row>
                    <xdr:rowOff>76200</xdr:rowOff>
                  </to>
                </anchor>
              </controlPr>
            </control>
          </mc:Choice>
        </mc:AlternateContent>
        <mc:AlternateContent xmlns:mc="http://schemas.openxmlformats.org/markup-compatibility/2006">
          <mc:Choice Requires="x14">
            <control shapeId="1328" r:id="rId76" name="Option Button 304">
              <controlPr defaultSize="0" autoFill="0" autoLine="0" autoPict="0">
                <anchor moveWithCells="1">
                  <from>
                    <xdr:col>2</xdr:col>
                    <xdr:colOff>85725</xdr:colOff>
                    <xdr:row>217</xdr:row>
                    <xdr:rowOff>180975</xdr:rowOff>
                  </from>
                  <to>
                    <xdr:col>2</xdr:col>
                    <xdr:colOff>2409825</xdr:colOff>
                    <xdr:row>219</xdr:row>
                    <xdr:rowOff>9525</xdr:rowOff>
                  </to>
                </anchor>
              </controlPr>
            </control>
          </mc:Choice>
        </mc:AlternateContent>
        <mc:AlternateContent xmlns:mc="http://schemas.openxmlformats.org/markup-compatibility/2006">
          <mc:Choice Requires="x14">
            <control shapeId="1329" r:id="rId77" name="Option Button 305">
              <controlPr defaultSize="0" autoFill="0" autoLine="0" autoPict="0">
                <anchor moveWithCells="1">
                  <from>
                    <xdr:col>2</xdr:col>
                    <xdr:colOff>85725</xdr:colOff>
                    <xdr:row>218</xdr:row>
                    <xdr:rowOff>180975</xdr:rowOff>
                  </from>
                  <to>
                    <xdr:col>2</xdr:col>
                    <xdr:colOff>2333625</xdr:colOff>
                    <xdr:row>220</xdr:row>
                    <xdr:rowOff>9525</xdr:rowOff>
                  </to>
                </anchor>
              </controlPr>
            </control>
          </mc:Choice>
        </mc:AlternateContent>
        <mc:AlternateContent xmlns:mc="http://schemas.openxmlformats.org/markup-compatibility/2006">
          <mc:Choice Requires="x14">
            <control shapeId="1330" r:id="rId78" name="Group Box 306">
              <controlPr defaultSize="0" autoFill="0" autoPict="0">
                <anchor moveWithCells="1">
                  <from>
                    <xdr:col>2</xdr:col>
                    <xdr:colOff>9525</xdr:colOff>
                    <xdr:row>217</xdr:row>
                    <xdr:rowOff>9525</xdr:rowOff>
                  </from>
                  <to>
                    <xdr:col>2</xdr:col>
                    <xdr:colOff>2705100</xdr:colOff>
                    <xdr:row>220</xdr:row>
                    <xdr:rowOff>76200</xdr:rowOff>
                  </to>
                </anchor>
              </controlPr>
            </control>
          </mc:Choice>
        </mc:AlternateContent>
        <mc:AlternateContent xmlns:mc="http://schemas.openxmlformats.org/markup-compatibility/2006">
          <mc:Choice Requires="x14">
            <control shapeId="1331" r:id="rId79" name="Option Button 307">
              <controlPr defaultSize="0" autoFill="0" autoLine="0" autoPict="0">
                <anchor moveWithCells="1">
                  <from>
                    <xdr:col>4</xdr:col>
                    <xdr:colOff>85725</xdr:colOff>
                    <xdr:row>217</xdr:row>
                    <xdr:rowOff>180975</xdr:rowOff>
                  </from>
                  <to>
                    <xdr:col>4</xdr:col>
                    <xdr:colOff>2476500</xdr:colOff>
                    <xdr:row>219</xdr:row>
                    <xdr:rowOff>9525</xdr:rowOff>
                  </to>
                </anchor>
              </controlPr>
            </control>
          </mc:Choice>
        </mc:AlternateContent>
        <mc:AlternateContent xmlns:mc="http://schemas.openxmlformats.org/markup-compatibility/2006">
          <mc:Choice Requires="x14">
            <control shapeId="1332" r:id="rId80" name="Option Button 308">
              <controlPr defaultSize="0" autoFill="0" autoLine="0" autoPict="0">
                <anchor moveWithCells="1">
                  <from>
                    <xdr:col>4</xdr:col>
                    <xdr:colOff>85725</xdr:colOff>
                    <xdr:row>218</xdr:row>
                    <xdr:rowOff>180975</xdr:rowOff>
                  </from>
                  <to>
                    <xdr:col>4</xdr:col>
                    <xdr:colOff>2514600</xdr:colOff>
                    <xdr:row>220</xdr:row>
                    <xdr:rowOff>38100</xdr:rowOff>
                  </to>
                </anchor>
              </controlPr>
            </control>
          </mc:Choice>
        </mc:AlternateContent>
        <mc:AlternateContent xmlns:mc="http://schemas.openxmlformats.org/markup-compatibility/2006">
          <mc:Choice Requires="x14">
            <control shapeId="1334" r:id="rId81" name="Group Box 310">
              <controlPr defaultSize="0" autoFill="0" autoPict="0">
                <anchor moveWithCells="1">
                  <from>
                    <xdr:col>4</xdr:col>
                    <xdr:colOff>0</xdr:colOff>
                    <xdr:row>217</xdr:row>
                    <xdr:rowOff>0</xdr:rowOff>
                  </from>
                  <to>
                    <xdr:col>4</xdr:col>
                    <xdr:colOff>2695575</xdr:colOff>
                    <xdr:row>220</xdr:row>
                    <xdr:rowOff>85725</xdr:rowOff>
                  </to>
                </anchor>
              </controlPr>
            </control>
          </mc:Choice>
        </mc:AlternateContent>
        <mc:AlternateContent xmlns:mc="http://schemas.openxmlformats.org/markup-compatibility/2006">
          <mc:Choice Requires="x14">
            <control shapeId="1335" r:id="rId82" name="Option Button 311">
              <controlPr defaultSize="0" autoFill="0" autoLine="0" autoPict="0">
                <anchor moveWithCells="1">
                  <from>
                    <xdr:col>4</xdr:col>
                    <xdr:colOff>95250</xdr:colOff>
                    <xdr:row>205</xdr:row>
                    <xdr:rowOff>0</xdr:rowOff>
                  </from>
                  <to>
                    <xdr:col>4</xdr:col>
                    <xdr:colOff>2524125</xdr:colOff>
                    <xdr:row>206</xdr:row>
                    <xdr:rowOff>19050</xdr:rowOff>
                  </to>
                </anchor>
              </controlPr>
            </control>
          </mc:Choice>
        </mc:AlternateContent>
        <mc:AlternateContent xmlns:mc="http://schemas.openxmlformats.org/markup-compatibility/2006">
          <mc:Choice Requires="x14">
            <control shapeId="1336" r:id="rId83" name="Option Button 312">
              <controlPr defaultSize="0" autoFill="0" autoLine="0" autoPict="0">
                <anchor moveWithCells="1">
                  <from>
                    <xdr:col>4</xdr:col>
                    <xdr:colOff>95250</xdr:colOff>
                    <xdr:row>206</xdr:row>
                    <xdr:rowOff>0</xdr:rowOff>
                  </from>
                  <to>
                    <xdr:col>4</xdr:col>
                    <xdr:colOff>2600325</xdr:colOff>
                    <xdr:row>207</xdr:row>
                    <xdr:rowOff>19050</xdr:rowOff>
                  </to>
                </anchor>
              </controlPr>
            </control>
          </mc:Choice>
        </mc:AlternateContent>
        <mc:AlternateContent xmlns:mc="http://schemas.openxmlformats.org/markup-compatibility/2006">
          <mc:Choice Requires="x14">
            <control shapeId="1339" r:id="rId84" name="Group Box 315">
              <controlPr defaultSize="0" autoFill="0" autoPict="0">
                <anchor moveWithCells="1">
                  <from>
                    <xdr:col>4</xdr:col>
                    <xdr:colOff>0</xdr:colOff>
                    <xdr:row>204</xdr:row>
                    <xdr:rowOff>0</xdr:rowOff>
                  </from>
                  <to>
                    <xdr:col>4</xdr:col>
                    <xdr:colOff>2695575</xdr:colOff>
                    <xdr:row>207</xdr:row>
                    <xdr:rowOff>104775</xdr:rowOff>
                  </to>
                </anchor>
              </controlPr>
            </control>
          </mc:Choice>
        </mc:AlternateContent>
        <mc:AlternateContent xmlns:mc="http://schemas.openxmlformats.org/markup-compatibility/2006">
          <mc:Choice Requires="x14">
            <control shapeId="1340" r:id="rId85" name="Option Button 316">
              <controlPr defaultSize="0" autoFill="0" autoLine="0" autoPict="0">
                <anchor moveWithCells="1">
                  <from>
                    <xdr:col>2</xdr:col>
                    <xdr:colOff>114300</xdr:colOff>
                    <xdr:row>224</xdr:row>
                    <xdr:rowOff>76200</xdr:rowOff>
                  </from>
                  <to>
                    <xdr:col>2</xdr:col>
                    <xdr:colOff>2247900</xdr:colOff>
                    <xdr:row>225</xdr:row>
                    <xdr:rowOff>123825</xdr:rowOff>
                  </to>
                </anchor>
              </controlPr>
            </control>
          </mc:Choice>
        </mc:AlternateContent>
        <mc:AlternateContent xmlns:mc="http://schemas.openxmlformats.org/markup-compatibility/2006">
          <mc:Choice Requires="x14">
            <control shapeId="1343" r:id="rId86" name="Group Box 319">
              <controlPr defaultSize="0" autoFill="0" autoPict="0">
                <anchor moveWithCells="1">
                  <from>
                    <xdr:col>2</xdr:col>
                    <xdr:colOff>0</xdr:colOff>
                    <xdr:row>223</xdr:row>
                    <xdr:rowOff>342900</xdr:rowOff>
                  </from>
                  <to>
                    <xdr:col>2</xdr:col>
                    <xdr:colOff>2695575</xdr:colOff>
                    <xdr:row>226</xdr:row>
                    <xdr:rowOff>228600</xdr:rowOff>
                  </to>
                </anchor>
              </controlPr>
            </control>
          </mc:Choice>
        </mc:AlternateContent>
        <mc:AlternateContent xmlns:mc="http://schemas.openxmlformats.org/markup-compatibility/2006">
          <mc:Choice Requires="x14">
            <control shapeId="1344" r:id="rId87" name="Option Button 320">
              <controlPr defaultSize="0" autoFill="0" autoLine="0" autoPict="0">
                <anchor moveWithCells="1">
                  <from>
                    <xdr:col>2</xdr:col>
                    <xdr:colOff>95250</xdr:colOff>
                    <xdr:row>228</xdr:row>
                    <xdr:rowOff>180975</xdr:rowOff>
                  </from>
                  <to>
                    <xdr:col>2</xdr:col>
                    <xdr:colOff>2038350</xdr:colOff>
                    <xdr:row>229</xdr:row>
                    <xdr:rowOff>9525</xdr:rowOff>
                  </to>
                </anchor>
              </controlPr>
            </control>
          </mc:Choice>
        </mc:AlternateContent>
        <mc:AlternateContent xmlns:mc="http://schemas.openxmlformats.org/markup-compatibility/2006">
          <mc:Choice Requires="x14">
            <control shapeId="1345" r:id="rId88" name="Option Button 321">
              <controlPr defaultSize="0" autoFill="0" autoLine="0" autoPict="0">
                <anchor moveWithCells="1">
                  <from>
                    <xdr:col>2</xdr:col>
                    <xdr:colOff>95250</xdr:colOff>
                    <xdr:row>229</xdr:row>
                    <xdr:rowOff>0</xdr:rowOff>
                  </from>
                  <to>
                    <xdr:col>2</xdr:col>
                    <xdr:colOff>2171700</xdr:colOff>
                    <xdr:row>230</xdr:row>
                    <xdr:rowOff>19050</xdr:rowOff>
                  </to>
                </anchor>
              </controlPr>
            </control>
          </mc:Choice>
        </mc:AlternateContent>
        <mc:AlternateContent xmlns:mc="http://schemas.openxmlformats.org/markup-compatibility/2006">
          <mc:Choice Requires="x14">
            <control shapeId="1346" r:id="rId89" name="Group Box 322">
              <controlPr defaultSize="0" autoFill="0" autoPict="0">
                <anchor moveWithCells="1">
                  <from>
                    <xdr:col>2</xdr:col>
                    <xdr:colOff>9525</xdr:colOff>
                    <xdr:row>228</xdr:row>
                    <xdr:rowOff>0</xdr:rowOff>
                  </from>
                  <to>
                    <xdr:col>2</xdr:col>
                    <xdr:colOff>2705100</xdr:colOff>
                    <xdr:row>230</xdr:row>
                    <xdr:rowOff>85725</xdr:rowOff>
                  </to>
                </anchor>
              </controlPr>
            </control>
          </mc:Choice>
        </mc:AlternateContent>
        <mc:AlternateContent xmlns:mc="http://schemas.openxmlformats.org/markup-compatibility/2006">
          <mc:Choice Requires="x14">
            <control shapeId="1347" r:id="rId90" name="Option Button 323">
              <controlPr defaultSize="0" autoFill="0" autoLine="0" autoPict="0">
                <anchor moveWithCells="1">
                  <from>
                    <xdr:col>2</xdr:col>
                    <xdr:colOff>104775</xdr:colOff>
                    <xdr:row>232</xdr:row>
                    <xdr:rowOff>171450</xdr:rowOff>
                  </from>
                  <to>
                    <xdr:col>2</xdr:col>
                    <xdr:colOff>2133600</xdr:colOff>
                    <xdr:row>233</xdr:row>
                    <xdr:rowOff>9525</xdr:rowOff>
                  </to>
                </anchor>
              </controlPr>
            </control>
          </mc:Choice>
        </mc:AlternateContent>
        <mc:AlternateContent xmlns:mc="http://schemas.openxmlformats.org/markup-compatibility/2006">
          <mc:Choice Requires="x14">
            <control shapeId="1348" r:id="rId91" name="Option Button 324">
              <controlPr defaultSize="0" autoFill="0" autoLine="0" autoPict="0">
                <anchor moveWithCells="1">
                  <from>
                    <xdr:col>2</xdr:col>
                    <xdr:colOff>104775</xdr:colOff>
                    <xdr:row>233</xdr:row>
                    <xdr:rowOff>0</xdr:rowOff>
                  </from>
                  <to>
                    <xdr:col>2</xdr:col>
                    <xdr:colOff>2171700</xdr:colOff>
                    <xdr:row>234</xdr:row>
                    <xdr:rowOff>47625</xdr:rowOff>
                  </to>
                </anchor>
              </controlPr>
            </control>
          </mc:Choice>
        </mc:AlternateContent>
        <mc:AlternateContent xmlns:mc="http://schemas.openxmlformats.org/markup-compatibility/2006">
          <mc:Choice Requires="x14">
            <control shapeId="1349" r:id="rId92" name="Group Box 325">
              <controlPr defaultSize="0" autoFill="0" autoPict="0">
                <anchor moveWithCells="1">
                  <from>
                    <xdr:col>2</xdr:col>
                    <xdr:colOff>9525</xdr:colOff>
                    <xdr:row>232</xdr:row>
                    <xdr:rowOff>9525</xdr:rowOff>
                  </from>
                  <to>
                    <xdr:col>2</xdr:col>
                    <xdr:colOff>2705100</xdr:colOff>
                    <xdr:row>234</xdr:row>
                    <xdr:rowOff>85725</xdr:rowOff>
                  </to>
                </anchor>
              </controlPr>
            </control>
          </mc:Choice>
        </mc:AlternateContent>
        <mc:AlternateContent xmlns:mc="http://schemas.openxmlformats.org/markup-compatibility/2006">
          <mc:Choice Requires="x14">
            <control shapeId="1350" r:id="rId93" name="Option Button 326">
              <controlPr defaultSize="0" autoFill="0" autoLine="0" autoPict="0">
                <anchor moveWithCells="1">
                  <from>
                    <xdr:col>2</xdr:col>
                    <xdr:colOff>114300</xdr:colOff>
                    <xdr:row>236</xdr:row>
                    <xdr:rowOff>180975</xdr:rowOff>
                  </from>
                  <to>
                    <xdr:col>2</xdr:col>
                    <xdr:colOff>1943100</xdr:colOff>
                    <xdr:row>237</xdr:row>
                    <xdr:rowOff>9525</xdr:rowOff>
                  </to>
                </anchor>
              </controlPr>
            </control>
          </mc:Choice>
        </mc:AlternateContent>
        <mc:AlternateContent xmlns:mc="http://schemas.openxmlformats.org/markup-compatibility/2006">
          <mc:Choice Requires="x14">
            <control shapeId="1351" r:id="rId94" name="Option Button 327">
              <controlPr defaultSize="0" autoFill="0" autoLine="0" autoPict="0">
                <anchor moveWithCells="1">
                  <from>
                    <xdr:col>2</xdr:col>
                    <xdr:colOff>114300</xdr:colOff>
                    <xdr:row>237</xdr:row>
                    <xdr:rowOff>0</xdr:rowOff>
                  </from>
                  <to>
                    <xdr:col>2</xdr:col>
                    <xdr:colOff>2143125</xdr:colOff>
                    <xdr:row>238</xdr:row>
                    <xdr:rowOff>19050</xdr:rowOff>
                  </to>
                </anchor>
              </controlPr>
            </control>
          </mc:Choice>
        </mc:AlternateContent>
        <mc:AlternateContent xmlns:mc="http://schemas.openxmlformats.org/markup-compatibility/2006">
          <mc:Choice Requires="x14">
            <control shapeId="1353" r:id="rId95" name="Group Box 329">
              <controlPr defaultSize="0" autoFill="0" autoPict="0">
                <anchor moveWithCells="1">
                  <from>
                    <xdr:col>2</xdr:col>
                    <xdr:colOff>0</xdr:colOff>
                    <xdr:row>236</xdr:row>
                    <xdr:rowOff>0</xdr:rowOff>
                  </from>
                  <to>
                    <xdr:col>2</xdr:col>
                    <xdr:colOff>2695575</xdr:colOff>
                    <xdr:row>238</xdr:row>
                    <xdr:rowOff>57150</xdr:rowOff>
                  </to>
                </anchor>
              </controlPr>
            </control>
          </mc:Choice>
        </mc:AlternateContent>
        <mc:AlternateContent xmlns:mc="http://schemas.openxmlformats.org/markup-compatibility/2006">
          <mc:Choice Requires="x14">
            <control shapeId="1356" r:id="rId96" name="Option Button 332">
              <controlPr defaultSize="0" autoFill="0" autoLine="0" autoPict="0">
                <anchor moveWithCells="1">
                  <from>
                    <xdr:col>2</xdr:col>
                    <xdr:colOff>85725</xdr:colOff>
                    <xdr:row>83</xdr:row>
                    <xdr:rowOff>390525</xdr:rowOff>
                  </from>
                  <to>
                    <xdr:col>2</xdr:col>
                    <xdr:colOff>2457450</xdr:colOff>
                    <xdr:row>83</xdr:row>
                    <xdr:rowOff>609600</xdr:rowOff>
                  </to>
                </anchor>
              </controlPr>
            </control>
          </mc:Choice>
        </mc:AlternateContent>
        <mc:AlternateContent xmlns:mc="http://schemas.openxmlformats.org/markup-compatibility/2006">
          <mc:Choice Requires="x14">
            <control shapeId="1357" r:id="rId97" name="Option Button 333">
              <controlPr defaultSize="0" autoFill="0" autoLine="0" autoPict="0">
                <anchor moveWithCells="1">
                  <from>
                    <xdr:col>2</xdr:col>
                    <xdr:colOff>85725</xdr:colOff>
                    <xdr:row>83</xdr:row>
                    <xdr:rowOff>590550</xdr:rowOff>
                  </from>
                  <to>
                    <xdr:col>2</xdr:col>
                    <xdr:colOff>2162175</xdr:colOff>
                    <xdr:row>83</xdr:row>
                    <xdr:rowOff>809625</xdr:rowOff>
                  </to>
                </anchor>
              </controlPr>
            </control>
          </mc:Choice>
        </mc:AlternateContent>
        <mc:AlternateContent xmlns:mc="http://schemas.openxmlformats.org/markup-compatibility/2006">
          <mc:Choice Requires="x14">
            <control shapeId="1359" r:id="rId98" name="Group Box 335">
              <controlPr defaultSize="0" autoFill="0" autoPict="0">
                <anchor moveWithCells="1">
                  <from>
                    <xdr:col>2</xdr:col>
                    <xdr:colOff>0</xdr:colOff>
                    <xdr:row>83</xdr:row>
                    <xdr:rowOff>228600</xdr:rowOff>
                  </from>
                  <to>
                    <xdr:col>2</xdr:col>
                    <xdr:colOff>2695575</xdr:colOff>
                    <xdr:row>84</xdr:row>
                    <xdr:rowOff>9525</xdr:rowOff>
                  </to>
                </anchor>
              </controlPr>
            </control>
          </mc:Choice>
        </mc:AlternateContent>
        <mc:AlternateContent xmlns:mc="http://schemas.openxmlformats.org/markup-compatibility/2006">
          <mc:Choice Requires="x14">
            <control shapeId="1360" r:id="rId99" name="Option Button 336">
              <controlPr defaultSize="0" autoFill="0" autoLine="0" autoPict="0">
                <anchor moveWithCells="1">
                  <from>
                    <xdr:col>2</xdr:col>
                    <xdr:colOff>95250</xdr:colOff>
                    <xdr:row>86</xdr:row>
                    <xdr:rowOff>180975</xdr:rowOff>
                  </from>
                  <to>
                    <xdr:col>2</xdr:col>
                    <xdr:colOff>2171700</xdr:colOff>
                    <xdr:row>88</xdr:row>
                    <xdr:rowOff>19050</xdr:rowOff>
                  </to>
                </anchor>
              </controlPr>
            </control>
          </mc:Choice>
        </mc:AlternateContent>
        <mc:AlternateContent xmlns:mc="http://schemas.openxmlformats.org/markup-compatibility/2006">
          <mc:Choice Requires="x14">
            <control shapeId="1361" r:id="rId100" name="Option Button 337">
              <controlPr defaultSize="0" autoFill="0" autoLine="0" autoPict="0">
                <anchor moveWithCells="1">
                  <from>
                    <xdr:col>2</xdr:col>
                    <xdr:colOff>95250</xdr:colOff>
                    <xdr:row>87</xdr:row>
                    <xdr:rowOff>180975</xdr:rowOff>
                  </from>
                  <to>
                    <xdr:col>2</xdr:col>
                    <xdr:colOff>2247900</xdr:colOff>
                    <xdr:row>89</xdr:row>
                    <xdr:rowOff>19050</xdr:rowOff>
                  </to>
                </anchor>
              </controlPr>
            </control>
          </mc:Choice>
        </mc:AlternateContent>
        <mc:AlternateContent xmlns:mc="http://schemas.openxmlformats.org/markup-compatibility/2006">
          <mc:Choice Requires="x14">
            <control shapeId="1363" r:id="rId101" name="Group Box 339">
              <controlPr defaultSize="0" autoFill="0" autoPict="0">
                <anchor moveWithCells="1">
                  <from>
                    <xdr:col>2</xdr:col>
                    <xdr:colOff>0</xdr:colOff>
                    <xdr:row>86</xdr:row>
                    <xdr:rowOff>0</xdr:rowOff>
                  </from>
                  <to>
                    <xdr:col>2</xdr:col>
                    <xdr:colOff>2695575</xdr:colOff>
                    <xdr:row>89</xdr:row>
                    <xdr:rowOff>57150</xdr:rowOff>
                  </to>
                </anchor>
              </controlPr>
            </control>
          </mc:Choice>
        </mc:AlternateContent>
        <mc:AlternateContent xmlns:mc="http://schemas.openxmlformats.org/markup-compatibility/2006">
          <mc:Choice Requires="x14">
            <control shapeId="1364" r:id="rId102" name="Option Button 340">
              <controlPr defaultSize="0" autoFill="0" autoLine="0" autoPict="0">
                <anchor moveWithCells="1">
                  <from>
                    <xdr:col>2</xdr:col>
                    <xdr:colOff>114300</xdr:colOff>
                    <xdr:row>91</xdr:row>
                    <xdr:rowOff>180975</xdr:rowOff>
                  </from>
                  <to>
                    <xdr:col>2</xdr:col>
                    <xdr:colOff>2286000</xdr:colOff>
                    <xdr:row>93</xdr:row>
                    <xdr:rowOff>19050</xdr:rowOff>
                  </to>
                </anchor>
              </controlPr>
            </control>
          </mc:Choice>
        </mc:AlternateContent>
        <mc:AlternateContent xmlns:mc="http://schemas.openxmlformats.org/markup-compatibility/2006">
          <mc:Choice Requires="x14">
            <control shapeId="1365" r:id="rId103" name="Option Button 341">
              <controlPr defaultSize="0" autoFill="0" autoLine="0" autoPict="0">
                <anchor moveWithCells="1">
                  <from>
                    <xdr:col>2</xdr:col>
                    <xdr:colOff>114300</xdr:colOff>
                    <xdr:row>92</xdr:row>
                    <xdr:rowOff>180975</xdr:rowOff>
                  </from>
                  <to>
                    <xdr:col>2</xdr:col>
                    <xdr:colOff>2266950</xdr:colOff>
                    <xdr:row>94</xdr:row>
                    <xdr:rowOff>19050</xdr:rowOff>
                  </to>
                </anchor>
              </controlPr>
            </control>
          </mc:Choice>
        </mc:AlternateContent>
        <mc:AlternateContent xmlns:mc="http://schemas.openxmlformats.org/markup-compatibility/2006">
          <mc:Choice Requires="x14">
            <control shapeId="1366" r:id="rId104" name="Group Box 342">
              <controlPr defaultSize="0" autoFill="0" autoPict="0">
                <anchor moveWithCells="1">
                  <from>
                    <xdr:col>2</xdr:col>
                    <xdr:colOff>0</xdr:colOff>
                    <xdr:row>91</xdr:row>
                    <xdr:rowOff>0</xdr:rowOff>
                  </from>
                  <to>
                    <xdr:col>2</xdr:col>
                    <xdr:colOff>2695575</xdr:colOff>
                    <xdr:row>94</xdr:row>
                    <xdr:rowOff>66675</xdr:rowOff>
                  </to>
                </anchor>
              </controlPr>
            </control>
          </mc:Choice>
        </mc:AlternateContent>
        <mc:AlternateContent xmlns:mc="http://schemas.openxmlformats.org/markup-compatibility/2006">
          <mc:Choice Requires="x14">
            <control shapeId="1367" r:id="rId105" name="Option Button 343">
              <controlPr defaultSize="0" autoFill="0" autoLine="0" autoPict="0">
                <anchor moveWithCells="1">
                  <from>
                    <xdr:col>2</xdr:col>
                    <xdr:colOff>123825</xdr:colOff>
                    <xdr:row>96</xdr:row>
                    <xdr:rowOff>180975</xdr:rowOff>
                  </from>
                  <to>
                    <xdr:col>2</xdr:col>
                    <xdr:colOff>2228850</xdr:colOff>
                    <xdr:row>98</xdr:row>
                    <xdr:rowOff>19050</xdr:rowOff>
                  </to>
                </anchor>
              </controlPr>
            </control>
          </mc:Choice>
        </mc:AlternateContent>
        <mc:AlternateContent xmlns:mc="http://schemas.openxmlformats.org/markup-compatibility/2006">
          <mc:Choice Requires="x14">
            <control shapeId="1368" r:id="rId106" name="Option Button 344">
              <controlPr defaultSize="0" autoFill="0" autoLine="0" autoPict="0">
                <anchor moveWithCells="1">
                  <from>
                    <xdr:col>2</xdr:col>
                    <xdr:colOff>123825</xdr:colOff>
                    <xdr:row>97</xdr:row>
                    <xdr:rowOff>180975</xdr:rowOff>
                  </from>
                  <to>
                    <xdr:col>2</xdr:col>
                    <xdr:colOff>2124075</xdr:colOff>
                    <xdr:row>99</xdr:row>
                    <xdr:rowOff>19050</xdr:rowOff>
                  </to>
                </anchor>
              </controlPr>
            </control>
          </mc:Choice>
        </mc:AlternateContent>
        <mc:AlternateContent xmlns:mc="http://schemas.openxmlformats.org/markup-compatibility/2006">
          <mc:Choice Requires="x14">
            <control shapeId="1369" r:id="rId107" name="Group Box 345">
              <controlPr defaultSize="0" autoFill="0" autoPict="0">
                <anchor moveWithCells="1">
                  <from>
                    <xdr:col>2</xdr:col>
                    <xdr:colOff>0</xdr:colOff>
                    <xdr:row>96</xdr:row>
                    <xdr:rowOff>0</xdr:rowOff>
                  </from>
                  <to>
                    <xdr:col>2</xdr:col>
                    <xdr:colOff>2695575</xdr:colOff>
                    <xdr:row>99</xdr:row>
                    <xdr:rowOff>85725</xdr:rowOff>
                  </to>
                </anchor>
              </controlPr>
            </control>
          </mc:Choice>
        </mc:AlternateContent>
        <mc:AlternateContent xmlns:mc="http://schemas.openxmlformats.org/markup-compatibility/2006">
          <mc:Choice Requires="x14">
            <control shapeId="1370" r:id="rId108" name="Option Button 346">
              <controlPr defaultSize="0" autoFill="0" autoLine="0" autoPict="0">
                <anchor moveWithCells="1">
                  <from>
                    <xdr:col>2</xdr:col>
                    <xdr:colOff>114300</xdr:colOff>
                    <xdr:row>101</xdr:row>
                    <xdr:rowOff>171450</xdr:rowOff>
                  </from>
                  <to>
                    <xdr:col>2</xdr:col>
                    <xdr:colOff>2305050</xdr:colOff>
                    <xdr:row>103</xdr:row>
                    <xdr:rowOff>9525</xdr:rowOff>
                  </to>
                </anchor>
              </controlPr>
            </control>
          </mc:Choice>
        </mc:AlternateContent>
        <mc:AlternateContent xmlns:mc="http://schemas.openxmlformats.org/markup-compatibility/2006">
          <mc:Choice Requires="x14">
            <control shapeId="1371" r:id="rId109" name="Option Button 347">
              <controlPr defaultSize="0" autoFill="0" autoLine="0" autoPict="0">
                <anchor moveWithCells="1">
                  <from>
                    <xdr:col>2</xdr:col>
                    <xdr:colOff>114300</xdr:colOff>
                    <xdr:row>102</xdr:row>
                    <xdr:rowOff>171450</xdr:rowOff>
                  </from>
                  <to>
                    <xdr:col>2</xdr:col>
                    <xdr:colOff>2238375</xdr:colOff>
                    <xdr:row>104</xdr:row>
                    <xdr:rowOff>9525</xdr:rowOff>
                  </to>
                </anchor>
              </controlPr>
            </control>
          </mc:Choice>
        </mc:AlternateContent>
        <mc:AlternateContent xmlns:mc="http://schemas.openxmlformats.org/markup-compatibility/2006">
          <mc:Choice Requires="x14">
            <control shapeId="1372" r:id="rId110" name="Group Box 348">
              <controlPr defaultSize="0" autoFill="0" autoPict="0">
                <anchor moveWithCells="1">
                  <from>
                    <xdr:col>2</xdr:col>
                    <xdr:colOff>0</xdr:colOff>
                    <xdr:row>101</xdr:row>
                    <xdr:rowOff>0</xdr:rowOff>
                  </from>
                  <to>
                    <xdr:col>2</xdr:col>
                    <xdr:colOff>2695575</xdr:colOff>
                    <xdr:row>104</xdr:row>
                    <xdr:rowOff>76200</xdr:rowOff>
                  </to>
                </anchor>
              </controlPr>
            </control>
          </mc:Choice>
        </mc:AlternateContent>
        <mc:AlternateContent xmlns:mc="http://schemas.openxmlformats.org/markup-compatibility/2006">
          <mc:Choice Requires="x14">
            <control shapeId="1373" r:id="rId111" name="Option Button 349">
              <controlPr defaultSize="0" autoFill="0" autoLine="0" autoPict="0">
                <anchor moveWithCells="1">
                  <from>
                    <xdr:col>2</xdr:col>
                    <xdr:colOff>123825</xdr:colOff>
                    <xdr:row>106</xdr:row>
                    <xdr:rowOff>180975</xdr:rowOff>
                  </from>
                  <to>
                    <xdr:col>2</xdr:col>
                    <xdr:colOff>2200275</xdr:colOff>
                    <xdr:row>108</xdr:row>
                    <xdr:rowOff>19050</xdr:rowOff>
                  </to>
                </anchor>
              </controlPr>
            </control>
          </mc:Choice>
        </mc:AlternateContent>
        <mc:AlternateContent xmlns:mc="http://schemas.openxmlformats.org/markup-compatibility/2006">
          <mc:Choice Requires="x14">
            <control shapeId="1374" r:id="rId112" name="Option Button 350">
              <controlPr defaultSize="0" autoFill="0" autoLine="0" autoPict="0">
                <anchor moveWithCells="1">
                  <from>
                    <xdr:col>2</xdr:col>
                    <xdr:colOff>123825</xdr:colOff>
                    <xdr:row>107</xdr:row>
                    <xdr:rowOff>180975</xdr:rowOff>
                  </from>
                  <to>
                    <xdr:col>2</xdr:col>
                    <xdr:colOff>2352675</xdr:colOff>
                    <xdr:row>109</xdr:row>
                    <xdr:rowOff>19050</xdr:rowOff>
                  </to>
                </anchor>
              </controlPr>
            </control>
          </mc:Choice>
        </mc:AlternateContent>
        <mc:AlternateContent xmlns:mc="http://schemas.openxmlformats.org/markup-compatibility/2006">
          <mc:Choice Requires="x14">
            <control shapeId="1375" r:id="rId113" name="Group Box 351">
              <controlPr defaultSize="0" autoFill="0" autoPict="0">
                <anchor moveWithCells="1">
                  <from>
                    <xdr:col>2</xdr:col>
                    <xdr:colOff>0</xdr:colOff>
                    <xdr:row>106</xdr:row>
                    <xdr:rowOff>0</xdr:rowOff>
                  </from>
                  <to>
                    <xdr:col>2</xdr:col>
                    <xdr:colOff>2695575</xdr:colOff>
                    <xdr:row>109</xdr:row>
                    <xdr:rowOff>95250</xdr:rowOff>
                  </to>
                </anchor>
              </controlPr>
            </control>
          </mc:Choice>
        </mc:AlternateContent>
        <mc:AlternateContent xmlns:mc="http://schemas.openxmlformats.org/markup-compatibility/2006">
          <mc:Choice Requires="x14">
            <control shapeId="1376" r:id="rId114" name="Option Button 352">
              <controlPr defaultSize="0" autoFill="0" autoLine="0" autoPict="0">
                <anchor moveWithCells="1">
                  <from>
                    <xdr:col>2</xdr:col>
                    <xdr:colOff>114300</xdr:colOff>
                    <xdr:row>111</xdr:row>
                    <xdr:rowOff>171450</xdr:rowOff>
                  </from>
                  <to>
                    <xdr:col>2</xdr:col>
                    <xdr:colOff>2047875</xdr:colOff>
                    <xdr:row>113</xdr:row>
                    <xdr:rowOff>9525</xdr:rowOff>
                  </to>
                </anchor>
              </controlPr>
            </control>
          </mc:Choice>
        </mc:AlternateContent>
        <mc:AlternateContent xmlns:mc="http://schemas.openxmlformats.org/markup-compatibility/2006">
          <mc:Choice Requires="x14">
            <control shapeId="1377" r:id="rId115" name="Option Button 353">
              <controlPr defaultSize="0" autoFill="0" autoLine="0" autoPict="0">
                <anchor moveWithCells="1">
                  <from>
                    <xdr:col>2</xdr:col>
                    <xdr:colOff>114300</xdr:colOff>
                    <xdr:row>112</xdr:row>
                    <xdr:rowOff>171450</xdr:rowOff>
                  </from>
                  <to>
                    <xdr:col>2</xdr:col>
                    <xdr:colOff>2038350</xdr:colOff>
                    <xdr:row>114</xdr:row>
                    <xdr:rowOff>9525</xdr:rowOff>
                  </to>
                </anchor>
              </controlPr>
            </control>
          </mc:Choice>
        </mc:AlternateContent>
        <mc:AlternateContent xmlns:mc="http://schemas.openxmlformats.org/markup-compatibility/2006">
          <mc:Choice Requires="x14">
            <control shapeId="1378" r:id="rId116" name="Group Box 354">
              <controlPr defaultSize="0" autoFill="0" autoPict="0">
                <anchor moveWithCells="1">
                  <from>
                    <xdr:col>2</xdr:col>
                    <xdr:colOff>0</xdr:colOff>
                    <xdr:row>111</xdr:row>
                    <xdr:rowOff>0</xdr:rowOff>
                  </from>
                  <to>
                    <xdr:col>2</xdr:col>
                    <xdr:colOff>2695575</xdr:colOff>
                    <xdr:row>114</xdr:row>
                    <xdr:rowOff>66675</xdr:rowOff>
                  </to>
                </anchor>
              </controlPr>
            </control>
          </mc:Choice>
        </mc:AlternateContent>
        <mc:AlternateContent xmlns:mc="http://schemas.openxmlformats.org/markup-compatibility/2006">
          <mc:Choice Requires="x14">
            <control shapeId="1385" r:id="rId117" name="Group Box 361">
              <controlPr defaultSize="0" autoFill="0" autoPict="0">
                <anchor moveWithCells="1">
                  <from>
                    <xdr:col>4</xdr:col>
                    <xdr:colOff>9525</xdr:colOff>
                    <xdr:row>86</xdr:row>
                    <xdr:rowOff>0</xdr:rowOff>
                  </from>
                  <to>
                    <xdr:col>4</xdr:col>
                    <xdr:colOff>2705100</xdr:colOff>
                    <xdr:row>89</xdr:row>
                    <xdr:rowOff>57150</xdr:rowOff>
                  </to>
                </anchor>
              </controlPr>
            </control>
          </mc:Choice>
        </mc:AlternateContent>
        <mc:AlternateContent xmlns:mc="http://schemas.openxmlformats.org/markup-compatibility/2006">
          <mc:Choice Requires="x14">
            <control shapeId="1391" r:id="rId118" name="Group Box 367">
              <controlPr defaultSize="0" autoFill="0" autoPict="0">
                <anchor moveWithCells="1">
                  <from>
                    <xdr:col>4</xdr:col>
                    <xdr:colOff>0</xdr:colOff>
                    <xdr:row>91</xdr:row>
                    <xdr:rowOff>0</xdr:rowOff>
                  </from>
                  <to>
                    <xdr:col>4</xdr:col>
                    <xdr:colOff>2695575</xdr:colOff>
                    <xdr:row>94</xdr:row>
                    <xdr:rowOff>57150</xdr:rowOff>
                  </to>
                </anchor>
              </controlPr>
            </control>
          </mc:Choice>
        </mc:AlternateContent>
        <mc:AlternateContent xmlns:mc="http://schemas.openxmlformats.org/markup-compatibility/2006">
          <mc:Choice Requires="x14">
            <control shapeId="1396" r:id="rId119" name="Group Box 372">
              <controlPr defaultSize="0" autoFill="0" autoPict="0">
                <anchor moveWithCells="1">
                  <from>
                    <xdr:col>4</xdr:col>
                    <xdr:colOff>0</xdr:colOff>
                    <xdr:row>96</xdr:row>
                    <xdr:rowOff>0</xdr:rowOff>
                  </from>
                  <to>
                    <xdr:col>4</xdr:col>
                    <xdr:colOff>2695575</xdr:colOff>
                    <xdr:row>99</xdr:row>
                    <xdr:rowOff>57150</xdr:rowOff>
                  </to>
                </anchor>
              </controlPr>
            </control>
          </mc:Choice>
        </mc:AlternateContent>
        <mc:AlternateContent xmlns:mc="http://schemas.openxmlformats.org/markup-compatibility/2006">
          <mc:Choice Requires="x14">
            <control shapeId="1401" r:id="rId120" name="Group Box 377">
              <controlPr defaultSize="0" autoFill="0" autoPict="0">
                <anchor moveWithCells="1">
                  <from>
                    <xdr:col>4</xdr:col>
                    <xdr:colOff>0</xdr:colOff>
                    <xdr:row>101</xdr:row>
                    <xdr:rowOff>0</xdr:rowOff>
                  </from>
                  <to>
                    <xdr:col>4</xdr:col>
                    <xdr:colOff>2695575</xdr:colOff>
                    <xdr:row>104</xdr:row>
                    <xdr:rowOff>57150</xdr:rowOff>
                  </to>
                </anchor>
              </controlPr>
            </control>
          </mc:Choice>
        </mc:AlternateContent>
        <mc:AlternateContent xmlns:mc="http://schemas.openxmlformats.org/markup-compatibility/2006">
          <mc:Choice Requires="x14">
            <control shapeId="1408" r:id="rId121" name="Group Box 384">
              <controlPr defaultSize="0" autoFill="0" autoPict="0">
                <anchor moveWithCells="1">
                  <from>
                    <xdr:col>4</xdr:col>
                    <xdr:colOff>9525</xdr:colOff>
                    <xdr:row>106</xdr:row>
                    <xdr:rowOff>0</xdr:rowOff>
                  </from>
                  <to>
                    <xdr:col>4</xdr:col>
                    <xdr:colOff>2705100</xdr:colOff>
                    <xdr:row>109</xdr:row>
                    <xdr:rowOff>57150</xdr:rowOff>
                  </to>
                </anchor>
              </controlPr>
            </control>
          </mc:Choice>
        </mc:AlternateContent>
        <mc:AlternateContent xmlns:mc="http://schemas.openxmlformats.org/markup-compatibility/2006">
          <mc:Choice Requires="x14">
            <control shapeId="1413" r:id="rId122" name="Group Box 389">
              <controlPr defaultSize="0" autoFill="0" autoPict="0">
                <anchor moveWithCells="1">
                  <from>
                    <xdr:col>4</xdr:col>
                    <xdr:colOff>0</xdr:colOff>
                    <xdr:row>111</xdr:row>
                    <xdr:rowOff>0</xdr:rowOff>
                  </from>
                  <to>
                    <xdr:col>4</xdr:col>
                    <xdr:colOff>2695575</xdr:colOff>
                    <xdr:row>114</xdr:row>
                    <xdr:rowOff>57150</xdr:rowOff>
                  </to>
                </anchor>
              </controlPr>
            </control>
          </mc:Choice>
        </mc:AlternateContent>
        <mc:AlternateContent xmlns:mc="http://schemas.openxmlformats.org/markup-compatibility/2006">
          <mc:Choice Requires="x14">
            <control shapeId="1414" r:id="rId123" name="Check Box 390">
              <controlPr defaultSize="0" autoFill="0" autoLine="0" autoPict="0" altText="Biobased">
                <anchor moveWithCells="1">
                  <from>
                    <xdr:col>2</xdr:col>
                    <xdr:colOff>0</xdr:colOff>
                    <xdr:row>67</xdr:row>
                    <xdr:rowOff>171450</xdr:rowOff>
                  </from>
                  <to>
                    <xdr:col>4</xdr:col>
                    <xdr:colOff>323850</xdr:colOff>
                    <xdr:row>69</xdr:row>
                    <xdr:rowOff>28575</xdr:rowOff>
                  </to>
                </anchor>
              </controlPr>
            </control>
          </mc:Choice>
        </mc:AlternateContent>
        <mc:AlternateContent xmlns:mc="http://schemas.openxmlformats.org/markup-compatibility/2006">
          <mc:Choice Requires="x14">
            <control shapeId="1420" r:id="rId124" name="Option Button 396">
              <controlPr defaultSize="0" autoFill="0" autoLine="0" autoPict="0">
                <anchor moveWithCells="1">
                  <from>
                    <xdr:col>4</xdr:col>
                    <xdr:colOff>47625</xdr:colOff>
                    <xdr:row>146</xdr:row>
                    <xdr:rowOff>180975</xdr:rowOff>
                  </from>
                  <to>
                    <xdr:col>4</xdr:col>
                    <xdr:colOff>2552700</xdr:colOff>
                    <xdr:row>148</xdr:row>
                    <xdr:rowOff>19050</xdr:rowOff>
                  </to>
                </anchor>
              </controlPr>
            </control>
          </mc:Choice>
        </mc:AlternateContent>
        <mc:AlternateContent xmlns:mc="http://schemas.openxmlformats.org/markup-compatibility/2006">
          <mc:Choice Requires="x14">
            <control shapeId="1421" r:id="rId125" name="Option Button 397">
              <controlPr defaultSize="0" autoFill="0" autoLine="0" autoPict="0">
                <anchor moveWithCells="1">
                  <from>
                    <xdr:col>2</xdr:col>
                    <xdr:colOff>19050</xdr:colOff>
                    <xdr:row>36</xdr:row>
                    <xdr:rowOff>0</xdr:rowOff>
                  </from>
                  <to>
                    <xdr:col>2</xdr:col>
                    <xdr:colOff>2266950</xdr:colOff>
                    <xdr:row>36</xdr:row>
                    <xdr:rowOff>180975</xdr:rowOff>
                  </to>
                </anchor>
              </controlPr>
            </control>
          </mc:Choice>
        </mc:AlternateContent>
        <mc:AlternateContent xmlns:mc="http://schemas.openxmlformats.org/markup-compatibility/2006">
          <mc:Choice Requires="x14">
            <control shapeId="1422" r:id="rId126" name="Group Box 398">
              <controlPr defaultSize="0" autoFill="0" autoPict="0" altText="Dakisolatie">
                <anchor moveWithCells="1">
                  <from>
                    <xdr:col>2</xdr:col>
                    <xdr:colOff>0</xdr:colOff>
                    <xdr:row>35</xdr:row>
                    <xdr:rowOff>0</xdr:rowOff>
                  </from>
                  <to>
                    <xdr:col>2</xdr:col>
                    <xdr:colOff>2695575</xdr:colOff>
                    <xdr:row>39</xdr:row>
                    <xdr:rowOff>28575</xdr:rowOff>
                  </to>
                </anchor>
              </controlPr>
            </control>
          </mc:Choice>
        </mc:AlternateContent>
        <mc:AlternateContent xmlns:mc="http://schemas.openxmlformats.org/markup-compatibility/2006">
          <mc:Choice Requires="x14">
            <control shapeId="1423" r:id="rId127" name="Option Button 399">
              <controlPr defaultSize="0" autoFill="0" autoLine="0" autoPict="0">
                <anchor moveWithCells="1">
                  <from>
                    <xdr:col>4</xdr:col>
                    <xdr:colOff>28575</xdr:colOff>
                    <xdr:row>35</xdr:row>
                    <xdr:rowOff>171450</xdr:rowOff>
                  </from>
                  <to>
                    <xdr:col>4</xdr:col>
                    <xdr:colOff>2495550</xdr:colOff>
                    <xdr:row>37</xdr:row>
                    <xdr:rowOff>0</xdr:rowOff>
                  </to>
                </anchor>
              </controlPr>
            </control>
          </mc:Choice>
        </mc:AlternateContent>
        <mc:AlternateContent xmlns:mc="http://schemas.openxmlformats.org/markup-compatibility/2006">
          <mc:Choice Requires="x14">
            <control shapeId="1424" r:id="rId128" name="Group Box 400">
              <controlPr defaultSize="0" autoFill="0" autoPict="0" altText="Zolder-of vlieringisolatie">
                <anchor moveWithCells="1">
                  <from>
                    <xdr:col>4</xdr:col>
                    <xdr:colOff>9525</xdr:colOff>
                    <xdr:row>35</xdr:row>
                    <xdr:rowOff>0</xdr:rowOff>
                  </from>
                  <to>
                    <xdr:col>4</xdr:col>
                    <xdr:colOff>2705100</xdr:colOff>
                    <xdr:row>39</xdr:row>
                    <xdr:rowOff>28575</xdr:rowOff>
                  </to>
                </anchor>
              </controlPr>
            </control>
          </mc:Choice>
        </mc:AlternateContent>
        <mc:AlternateContent xmlns:mc="http://schemas.openxmlformats.org/markup-compatibility/2006">
          <mc:Choice Requires="x14">
            <control shapeId="1426" r:id="rId129" name="Option Button 402">
              <controlPr defaultSize="0" autoFill="0" autoLine="0" autoPict="0">
                <anchor moveWithCells="1">
                  <from>
                    <xdr:col>2</xdr:col>
                    <xdr:colOff>19050</xdr:colOff>
                    <xdr:row>37</xdr:row>
                    <xdr:rowOff>0</xdr:rowOff>
                  </from>
                  <to>
                    <xdr:col>2</xdr:col>
                    <xdr:colOff>2457450</xdr:colOff>
                    <xdr:row>37</xdr:row>
                    <xdr:rowOff>180975</xdr:rowOff>
                  </to>
                </anchor>
              </controlPr>
            </control>
          </mc:Choice>
        </mc:AlternateContent>
        <mc:AlternateContent xmlns:mc="http://schemas.openxmlformats.org/markup-compatibility/2006">
          <mc:Choice Requires="x14">
            <control shapeId="1427" r:id="rId130" name="Option Button 403">
              <controlPr defaultSize="0" autoFill="0" autoLine="0" autoPict="0">
                <anchor moveWithCells="1">
                  <from>
                    <xdr:col>4</xdr:col>
                    <xdr:colOff>28575</xdr:colOff>
                    <xdr:row>36</xdr:row>
                    <xdr:rowOff>171450</xdr:rowOff>
                  </from>
                  <to>
                    <xdr:col>4</xdr:col>
                    <xdr:colOff>2476500</xdr:colOff>
                    <xdr:row>38</xdr:row>
                    <xdr:rowOff>0</xdr:rowOff>
                  </to>
                </anchor>
              </controlPr>
            </control>
          </mc:Choice>
        </mc:AlternateContent>
        <mc:AlternateContent xmlns:mc="http://schemas.openxmlformats.org/markup-compatibility/2006">
          <mc:Choice Requires="x14">
            <control shapeId="1428" r:id="rId131" name="Option Button 404">
              <controlPr defaultSize="0" autoFill="0" autoLine="0" autoPict="0">
                <anchor moveWithCells="1">
                  <from>
                    <xdr:col>4</xdr:col>
                    <xdr:colOff>28575</xdr:colOff>
                    <xdr:row>37</xdr:row>
                    <xdr:rowOff>171450</xdr:rowOff>
                  </from>
                  <to>
                    <xdr:col>4</xdr:col>
                    <xdr:colOff>2371725</xdr:colOff>
                    <xdr:row>39</xdr:row>
                    <xdr:rowOff>0</xdr:rowOff>
                  </to>
                </anchor>
              </controlPr>
            </control>
          </mc:Choice>
        </mc:AlternateContent>
        <mc:AlternateContent xmlns:mc="http://schemas.openxmlformats.org/markup-compatibility/2006">
          <mc:Choice Requires="x14">
            <control shapeId="1434" r:id="rId132" name="Option Button 410">
              <controlPr defaultSize="0" autoFill="0" autoLine="0" autoPict="0">
                <anchor moveWithCells="1">
                  <from>
                    <xdr:col>2</xdr:col>
                    <xdr:colOff>19050</xdr:colOff>
                    <xdr:row>59</xdr:row>
                    <xdr:rowOff>180975</xdr:rowOff>
                  </from>
                  <to>
                    <xdr:col>2</xdr:col>
                    <xdr:colOff>2295525</xdr:colOff>
                    <xdr:row>61</xdr:row>
                    <xdr:rowOff>9525</xdr:rowOff>
                  </to>
                </anchor>
              </controlPr>
            </control>
          </mc:Choice>
        </mc:AlternateContent>
        <mc:AlternateContent xmlns:mc="http://schemas.openxmlformats.org/markup-compatibility/2006">
          <mc:Choice Requires="x14">
            <control shapeId="1435" r:id="rId133" name="Group Box 411">
              <controlPr defaultSize="0" autoFill="0" autoPict="0">
                <anchor moveWithCells="1">
                  <from>
                    <xdr:col>2</xdr:col>
                    <xdr:colOff>0</xdr:colOff>
                    <xdr:row>59</xdr:row>
                    <xdr:rowOff>0</xdr:rowOff>
                  </from>
                  <to>
                    <xdr:col>2</xdr:col>
                    <xdr:colOff>2695575</xdr:colOff>
                    <xdr:row>63</xdr:row>
                    <xdr:rowOff>28575</xdr:rowOff>
                  </to>
                </anchor>
              </controlPr>
            </control>
          </mc:Choice>
        </mc:AlternateContent>
        <mc:AlternateContent xmlns:mc="http://schemas.openxmlformats.org/markup-compatibility/2006">
          <mc:Choice Requires="x14">
            <control shapeId="1436" r:id="rId134" name="Option Button 412">
              <controlPr defaultSize="0" autoFill="0" autoLine="0" autoPict="0">
                <anchor moveWithCells="1">
                  <from>
                    <xdr:col>4</xdr:col>
                    <xdr:colOff>66675</xdr:colOff>
                    <xdr:row>59</xdr:row>
                    <xdr:rowOff>171450</xdr:rowOff>
                  </from>
                  <to>
                    <xdr:col>4</xdr:col>
                    <xdr:colOff>2409825</xdr:colOff>
                    <xdr:row>61</xdr:row>
                    <xdr:rowOff>9525</xdr:rowOff>
                  </to>
                </anchor>
              </controlPr>
            </control>
          </mc:Choice>
        </mc:AlternateContent>
        <mc:AlternateContent xmlns:mc="http://schemas.openxmlformats.org/markup-compatibility/2006">
          <mc:Choice Requires="x14">
            <control shapeId="1437" r:id="rId135" name="Group Box 413">
              <controlPr defaultSize="0" autoFill="0" autoPict="0">
                <anchor moveWithCells="1">
                  <from>
                    <xdr:col>4</xdr:col>
                    <xdr:colOff>0</xdr:colOff>
                    <xdr:row>59</xdr:row>
                    <xdr:rowOff>0</xdr:rowOff>
                  </from>
                  <to>
                    <xdr:col>4</xdr:col>
                    <xdr:colOff>2695575</xdr:colOff>
                    <xdr:row>63</xdr:row>
                    <xdr:rowOff>28575</xdr:rowOff>
                  </to>
                </anchor>
              </controlPr>
            </control>
          </mc:Choice>
        </mc:AlternateContent>
        <mc:AlternateContent xmlns:mc="http://schemas.openxmlformats.org/markup-compatibility/2006">
          <mc:Choice Requires="x14">
            <control shapeId="1438" r:id="rId136" name="Option Button 414">
              <controlPr defaultSize="0" autoFill="0" autoLine="0" autoPict="0">
                <anchor moveWithCells="1">
                  <from>
                    <xdr:col>2</xdr:col>
                    <xdr:colOff>19050</xdr:colOff>
                    <xdr:row>60</xdr:row>
                    <xdr:rowOff>180975</xdr:rowOff>
                  </from>
                  <to>
                    <xdr:col>2</xdr:col>
                    <xdr:colOff>2609850</xdr:colOff>
                    <xdr:row>62</xdr:row>
                    <xdr:rowOff>0</xdr:rowOff>
                  </to>
                </anchor>
              </controlPr>
            </control>
          </mc:Choice>
        </mc:AlternateContent>
        <mc:AlternateContent xmlns:mc="http://schemas.openxmlformats.org/markup-compatibility/2006">
          <mc:Choice Requires="x14">
            <control shapeId="1440" r:id="rId137" name="Option Button 416">
              <controlPr defaultSize="0" autoFill="0" autoLine="0" autoPict="0">
                <anchor moveWithCells="1">
                  <from>
                    <xdr:col>4</xdr:col>
                    <xdr:colOff>66675</xdr:colOff>
                    <xdr:row>60</xdr:row>
                    <xdr:rowOff>171450</xdr:rowOff>
                  </from>
                  <to>
                    <xdr:col>4</xdr:col>
                    <xdr:colOff>2581275</xdr:colOff>
                    <xdr:row>62</xdr:row>
                    <xdr:rowOff>9525</xdr:rowOff>
                  </to>
                </anchor>
              </controlPr>
            </control>
          </mc:Choice>
        </mc:AlternateContent>
        <mc:AlternateContent xmlns:mc="http://schemas.openxmlformats.org/markup-compatibility/2006">
          <mc:Choice Requires="x14">
            <control shapeId="1441" r:id="rId138" name="Option Button 417">
              <controlPr defaultSize="0" autoFill="0" autoLine="0" autoPict="0">
                <anchor moveWithCells="1">
                  <from>
                    <xdr:col>4</xdr:col>
                    <xdr:colOff>66675</xdr:colOff>
                    <xdr:row>61</xdr:row>
                    <xdr:rowOff>171450</xdr:rowOff>
                  </from>
                  <to>
                    <xdr:col>4</xdr:col>
                    <xdr:colOff>2524125</xdr:colOff>
                    <xdr:row>63</xdr:row>
                    <xdr:rowOff>9525</xdr:rowOff>
                  </to>
                </anchor>
              </controlPr>
            </control>
          </mc:Choice>
        </mc:AlternateContent>
        <mc:AlternateContent xmlns:mc="http://schemas.openxmlformats.org/markup-compatibility/2006">
          <mc:Choice Requires="x14">
            <control shapeId="1443" r:id="rId139" name="Check Box 419">
              <controlPr defaultSize="0" autoFill="0" autoLine="0" autoPict="0" altText="Biobased">
                <anchor moveWithCells="1">
                  <from>
                    <xdr:col>2</xdr:col>
                    <xdr:colOff>0</xdr:colOff>
                    <xdr:row>69</xdr:row>
                    <xdr:rowOff>171450</xdr:rowOff>
                  </from>
                  <to>
                    <xdr:col>4</xdr:col>
                    <xdr:colOff>323850</xdr:colOff>
                    <xdr:row>71</xdr:row>
                    <xdr:rowOff>28575</xdr:rowOff>
                  </to>
                </anchor>
              </controlPr>
            </control>
          </mc:Choice>
        </mc:AlternateContent>
        <mc:AlternateContent xmlns:mc="http://schemas.openxmlformats.org/markup-compatibility/2006">
          <mc:Choice Requires="x14">
            <control shapeId="1444" r:id="rId140" name="Check Box 420">
              <controlPr defaultSize="0" autoFill="0" autoLine="0" autoPict="0" altText="Biobased">
                <anchor moveWithCells="1">
                  <from>
                    <xdr:col>2</xdr:col>
                    <xdr:colOff>0</xdr:colOff>
                    <xdr:row>78</xdr:row>
                    <xdr:rowOff>0</xdr:rowOff>
                  </from>
                  <to>
                    <xdr:col>2</xdr:col>
                    <xdr:colOff>1962150</xdr:colOff>
                    <xdr:row>79</xdr:row>
                    <xdr:rowOff>47625</xdr:rowOff>
                  </to>
                </anchor>
              </controlPr>
            </control>
          </mc:Choice>
        </mc:AlternateContent>
        <mc:AlternateContent xmlns:mc="http://schemas.openxmlformats.org/markup-compatibility/2006">
          <mc:Choice Requires="x14">
            <control shapeId="1452" r:id="rId141" name="Check Box 428">
              <controlPr defaultSize="0" autoFill="0" autoLine="0" autoPict="0" altText="Biobased">
                <anchor moveWithCells="1">
                  <from>
                    <xdr:col>4</xdr:col>
                    <xdr:colOff>66675</xdr:colOff>
                    <xdr:row>86</xdr:row>
                    <xdr:rowOff>152400</xdr:rowOff>
                  </from>
                  <to>
                    <xdr:col>4</xdr:col>
                    <xdr:colOff>2028825</xdr:colOff>
                    <xdr:row>88</xdr:row>
                    <xdr:rowOff>9525</xdr:rowOff>
                  </to>
                </anchor>
              </controlPr>
            </control>
          </mc:Choice>
        </mc:AlternateContent>
        <mc:AlternateContent xmlns:mc="http://schemas.openxmlformats.org/markup-compatibility/2006">
          <mc:Choice Requires="x14">
            <control shapeId="1453" r:id="rId142" name="Check Box 429">
              <controlPr defaultSize="0" autoFill="0" autoLine="0" autoPict="0" altText="Biobased">
                <anchor moveWithCells="1">
                  <from>
                    <xdr:col>4</xdr:col>
                    <xdr:colOff>66675</xdr:colOff>
                    <xdr:row>87</xdr:row>
                    <xdr:rowOff>152400</xdr:rowOff>
                  </from>
                  <to>
                    <xdr:col>4</xdr:col>
                    <xdr:colOff>2028825</xdr:colOff>
                    <xdr:row>89</xdr:row>
                    <xdr:rowOff>9525</xdr:rowOff>
                  </to>
                </anchor>
              </controlPr>
            </control>
          </mc:Choice>
        </mc:AlternateContent>
        <mc:AlternateContent xmlns:mc="http://schemas.openxmlformats.org/markup-compatibility/2006">
          <mc:Choice Requires="x14">
            <control shapeId="1456" r:id="rId143" name="Check Box 432">
              <controlPr defaultSize="0" autoFill="0" autoLine="0" autoPict="0" altText="Biobased">
                <anchor moveWithCells="1">
                  <from>
                    <xdr:col>4</xdr:col>
                    <xdr:colOff>66675</xdr:colOff>
                    <xdr:row>91</xdr:row>
                    <xdr:rowOff>152400</xdr:rowOff>
                  </from>
                  <to>
                    <xdr:col>4</xdr:col>
                    <xdr:colOff>2028825</xdr:colOff>
                    <xdr:row>93</xdr:row>
                    <xdr:rowOff>9525</xdr:rowOff>
                  </to>
                </anchor>
              </controlPr>
            </control>
          </mc:Choice>
        </mc:AlternateContent>
        <mc:AlternateContent xmlns:mc="http://schemas.openxmlformats.org/markup-compatibility/2006">
          <mc:Choice Requires="x14">
            <control shapeId="1457" r:id="rId144" name="Check Box 433">
              <controlPr defaultSize="0" autoFill="0" autoLine="0" autoPict="0" altText="Biobased">
                <anchor moveWithCells="1">
                  <from>
                    <xdr:col>4</xdr:col>
                    <xdr:colOff>66675</xdr:colOff>
                    <xdr:row>92</xdr:row>
                    <xdr:rowOff>152400</xdr:rowOff>
                  </from>
                  <to>
                    <xdr:col>4</xdr:col>
                    <xdr:colOff>2028825</xdr:colOff>
                    <xdr:row>94</xdr:row>
                    <xdr:rowOff>9525</xdr:rowOff>
                  </to>
                </anchor>
              </controlPr>
            </control>
          </mc:Choice>
        </mc:AlternateContent>
        <mc:AlternateContent xmlns:mc="http://schemas.openxmlformats.org/markup-compatibility/2006">
          <mc:Choice Requires="x14">
            <control shapeId="1458" r:id="rId145" name="Check Box 434">
              <controlPr defaultSize="0" autoFill="0" autoLine="0" autoPict="0" altText="Biobased">
                <anchor moveWithCells="1">
                  <from>
                    <xdr:col>4</xdr:col>
                    <xdr:colOff>66675</xdr:colOff>
                    <xdr:row>96</xdr:row>
                    <xdr:rowOff>152400</xdr:rowOff>
                  </from>
                  <to>
                    <xdr:col>4</xdr:col>
                    <xdr:colOff>2028825</xdr:colOff>
                    <xdr:row>98</xdr:row>
                    <xdr:rowOff>9525</xdr:rowOff>
                  </to>
                </anchor>
              </controlPr>
            </control>
          </mc:Choice>
        </mc:AlternateContent>
        <mc:AlternateContent xmlns:mc="http://schemas.openxmlformats.org/markup-compatibility/2006">
          <mc:Choice Requires="x14">
            <control shapeId="1459" r:id="rId146" name="Check Box 435">
              <controlPr defaultSize="0" autoFill="0" autoLine="0" autoPict="0" altText="Biobased">
                <anchor moveWithCells="1">
                  <from>
                    <xdr:col>4</xdr:col>
                    <xdr:colOff>66675</xdr:colOff>
                    <xdr:row>97</xdr:row>
                    <xdr:rowOff>152400</xdr:rowOff>
                  </from>
                  <to>
                    <xdr:col>4</xdr:col>
                    <xdr:colOff>2028825</xdr:colOff>
                    <xdr:row>99</xdr:row>
                    <xdr:rowOff>9525</xdr:rowOff>
                  </to>
                </anchor>
              </controlPr>
            </control>
          </mc:Choice>
        </mc:AlternateContent>
        <mc:AlternateContent xmlns:mc="http://schemas.openxmlformats.org/markup-compatibility/2006">
          <mc:Choice Requires="x14">
            <control shapeId="1460" r:id="rId147" name="Check Box 436">
              <controlPr defaultSize="0" autoFill="0" autoLine="0" autoPict="0" altText="Biobased">
                <anchor moveWithCells="1">
                  <from>
                    <xdr:col>4</xdr:col>
                    <xdr:colOff>66675</xdr:colOff>
                    <xdr:row>101</xdr:row>
                    <xdr:rowOff>152400</xdr:rowOff>
                  </from>
                  <to>
                    <xdr:col>4</xdr:col>
                    <xdr:colOff>2028825</xdr:colOff>
                    <xdr:row>103</xdr:row>
                    <xdr:rowOff>9525</xdr:rowOff>
                  </to>
                </anchor>
              </controlPr>
            </control>
          </mc:Choice>
        </mc:AlternateContent>
        <mc:AlternateContent xmlns:mc="http://schemas.openxmlformats.org/markup-compatibility/2006">
          <mc:Choice Requires="x14">
            <control shapeId="1461" r:id="rId148" name="Check Box 437">
              <controlPr defaultSize="0" autoFill="0" autoLine="0" autoPict="0" altText="Biobased">
                <anchor moveWithCells="1">
                  <from>
                    <xdr:col>4</xdr:col>
                    <xdr:colOff>66675</xdr:colOff>
                    <xdr:row>102</xdr:row>
                    <xdr:rowOff>152400</xdr:rowOff>
                  </from>
                  <to>
                    <xdr:col>4</xdr:col>
                    <xdr:colOff>2028825</xdr:colOff>
                    <xdr:row>104</xdr:row>
                    <xdr:rowOff>9525</xdr:rowOff>
                  </to>
                </anchor>
              </controlPr>
            </control>
          </mc:Choice>
        </mc:AlternateContent>
        <mc:AlternateContent xmlns:mc="http://schemas.openxmlformats.org/markup-compatibility/2006">
          <mc:Choice Requires="x14">
            <control shapeId="1462" r:id="rId149" name="Check Box 438">
              <controlPr defaultSize="0" autoFill="0" autoLine="0" autoPict="0" altText="Biobased">
                <anchor moveWithCells="1">
                  <from>
                    <xdr:col>4</xdr:col>
                    <xdr:colOff>66675</xdr:colOff>
                    <xdr:row>106</xdr:row>
                    <xdr:rowOff>152400</xdr:rowOff>
                  </from>
                  <to>
                    <xdr:col>4</xdr:col>
                    <xdr:colOff>2028825</xdr:colOff>
                    <xdr:row>108</xdr:row>
                    <xdr:rowOff>9525</xdr:rowOff>
                  </to>
                </anchor>
              </controlPr>
            </control>
          </mc:Choice>
        </mc:AlternateContent>
        <mc:AlternateContent xmlns:mc="http://schemas.openxmlformats.org/markup-compatibility/2006">
          <mc:Choice Requires="x14">
            <control shapeId="1463" r:id="rId150" name="Check Box 439">
              <controlPr defaultSize="0" autoFill="0" autoLine="0" autoPict="0" altText="Biobased">
                <anchor moveWithCells="1">
                  <from>
                    <xdr:col>4</xdr:col>
                    <xdr:colOff>66675</xdr:colOff>
                    <xdr:row>107</xdr:row>
                    <xdr:rowOff>152400</xdr:rowOff>
                  </from>
                  <to>
                    <xdr:col>4</xdr:col>
                    <xdr:colOff>2028825</xdr:colOff>
                    <xdr:row>109</xdr:row>
                    <xdr:rowOff>9525</xdr:rowOff>
                  </to>
                </anchor>
              </controlPr>
            </control>
          </mc:Choice>
        </mc:AlternateContent>
        <mc:AlternateContent xmlns:mc="http://schemas.openxmlformats.org/markup-compatibility/2006">
          <mc:Choice Requires="x14">
            <control shapeId="1464" r:id="rId151" name="Check Box 440">
              <controlPr defaultSize="0" autoFill="0" autoLine="0" autoPict="0" altText="Biobased">
                <anchor moveWithCells="1">
                  <from>
                    <xdr:col>4</xdr:col>
                    <xdr:colOff>66675</xdr:colOff>
                    <xdr:row>111</xdr:row>
                    <xdr:rowOff>152400</xdr:rowOff>
                  </from>
                  <to>
                    <xdr:col>4</xdr:col>
                    <xdr:colOff>2028825</xdr:colOff>
                    <xdr:row>113</xdr:row>
                    <xdr:rowOff>9525</xdr:rowOff>
                  </to>
                </anchor>
              </controlPr>
            </control>
          </mc:Choice>
        </mc:AlternateContent>
        <mc:AlternateContent xmlns:mc="http://schemas.openxmlformats.org/markup-compatibility/2006">
          <mc:Choice Requires="x14">
            <control shapeId="1465" r:id="rId152" name="Check Box 441">
              <controlPr defaultSize="0" autoFill="0" autoLine="0" autoPict="0" altText="Biobased">
                <anchor moveWithCells="1">
                  <from>
                    <xdr:col>4</xdr:col>
                    <xdr:colOff>66675</xdr:colOff>
                    <xdr:row>112</xdr:row>
                    <xdr:rowOff>152400</xdr:rowOff>
                  </from>
                  <to>
                    <xdr:col>4</xdr:col>
                    <xdr:colOff>2028825</xdr:colOff>
                    <xdr:row>114</xdr:row>
                    <xdr:rowOff>9525</xdr:rowOff>
                  </to>
                </anchor>
              </controlPr>
            </control>
          </mc:Choice>
        </mc:AlternateContent>
        <mc:AlternateContent xmlns:mc="http://schemas.openxmlformats.org/markup-compatibility/2006">
          <mc:Choice Requires="x14">
            <control shapeId="1466" r:id="rId153" name="Option Button 442">
              <controlPr defaultSize="0" autoFill="0" autoLine="0" autoPict="0">
                <anchor moveWithCells="1">
                  <from>
                    <xdr:col>2</xdr:col>
                    <xdr:colOff>114300</xdr:colOff>
                    <xdr:row>125</xdr:row>
                    <xdr:rowOff>171450</xdr:rowOff>
                  </from>
                  <to>
                    <xdr:col>2</xdr:col>
                    <xdr:colOff>2047875</xdr:colOff>
                    <xdr:row>127</xdr:row>
                    <xdr:rowOff>9525</xdr:rowOff>
                  </to>
                </anchor>
              </controlPr>
            </control>
          </mc:Choice>
        </mc:AlternateContent>
        <mc:AlternateContent xmlns:mc="http://schemas.openxmlformats.org/markup-compatibility/2006">
          <mc:Choice Requires="x14">
            <control shapeId="1467" r:id="rId154" name="Option Button 443">
              <controlPr defaultSize="0" autoFill="0" autoLine="0" autoPict="0">
                <anchor moveWithCells="1">
                  <from>
                    <xdr:col>2</xdr:col>
                    <xdr:colOff>114300</xdr:colOff>
                    <xdr:row>126</xdr:row>
                    <xdr:rowOff>171450</xdr:rowOff>
                  </from>
                  <to>
                    <xdr:col>2</xdr:col>
                    <xdr:colOff>2038350</xdr:colOff>
                    <xdr:row>128</xdr:row>
                    <xdr:rowOff>9525</xdr:rowOff>
                  </to>
                </anchor>
              </controlPr>
            </control>
          </mc:Choice>
        </mc:AlternateContent>
        <mc:AlternateContent xmlns:mc="http://schemas.openxmlformats.org/markup-compatibility/2006">
          <mc:Choice Requires="x14">
            <control shapeId="1468" r:id="rId155" name="Group Box 444">
              <controlPr defaultSize="0" autoFill="0" autoPict="0">
                <anchor moveWithCells="1">
                  <from>
                    <xdr:col>2</xdr:col>
                    <xdr:colOff>0</xdr:colOff>
                    <xdr:row>125</xdr:row>
                    <xdr:rowOff>0</xdr:rowOff>
                  </from>
                  <to>
                    <xdr:col>2</xdr:col>
                    <xdr:colOff>2695575</xdr:colOff>
                    <xdr:row>128</xdr:row>
                    <xdr:rowOff>66675</xdr:rowOff>
                  </to>
                </anchor>
              </controlPr>
            </control>
          </mc:Choice>
        </mc:AlternateContent>
        <mc:AlternateContent xmlns:mc="http://schemas.openxmlformats.org/markup-compatibility/2006">
          <mc:Choice Requires="x14">
            <control shapeId="1469" r:id="rId156" name="Group Box 445">
              <controlPr defaultSize="0" autoFill="0" autoPict="0">
                <anchor moveWithCells="1">
                  <from>
                    <xdr:col>4</xdr:col>
                    <xdr:colOff>0</xdr:colOff>
                    <xdr:row>125</xdr:row>
                    <xdr:rowOff>0</xdr:rowOff>
                  </from>
                  <to>
                    <xdr:col>4</xdr:col>
                    <xdr:colOff>2695575</xdr:colOff>
                    <xdr:row>128</xdr:row>
                    <xdr:rowOff>57150</xdr:rowOff>
                  </to>
                </anchor>
              </controlPr>
            </control>
          </mc:Choice>
        </mc:AlternateContent>
        <mc:AlternateContent xmlns:mc="http://schemas.openxmlformats.org/markup-compatibility/2006">
          <mc:Choice Requires="x14">
            <control shapeId="1472" r:id="rId157" name="Option Button 448">
              <controlPr defaultSize="0" autoFill="0" autoLine="0" autoPict="0">
                <anchor moveWithCells="1">
                  <from>
                    <xdr:col>4</xdr:col>
                    <xdr:colOff>57150</xdr:colOff>
                    <xdr:row>125</xdr:row>
                    <xdr:rowOff>152400</xdr:rowOff>
                  </from>
                  <to>
                    <xdr:col>4</xdr:col>
                    <xdr:colOff>2562225</xdr:colOff>
                    <xdr:row>126</xdr:row>
                    <xdr:rowOff>180975</xdr:rowOff>
                  </to>
                </anchor>
              </controlPr>
            </control>
          </mc:Choice>
        </mc:AlternateContent>
        <mc:AlternateContent xmlns:mc="http://schemas.openxmlformats.org/markup-compatibility/2006">
          <mc:Choice Requires="x14">
            <control shapeId="1474" r:id="rId158" name="Option Button 450">
              <controlPr defaultSize="0" autoFill="0" autoLine="0" autoPict="0">
                <anchor moveWithCells="1">
                  <from>
                    <xdr:col>4</xdr:col>
                    <xdr:colOff>57150</xdr:colOff>
                    <xdr:row>126</xdr:row>
                    <xdr:rowOff>152400</xdr:rowOff>
                  </from>
                  <to>
                    <xdr:col>4</xdr:col>
                    <xdr:colOff>2562225</xdr:colOff>
                    <xdr:row>127</xdr:row>
                    <xdr:rowOff>180975</xdr:rowOff>
                  </to>
                </anchor>
              </controlPr>
            </control>
          </mc:Choice>
        </mc:AlternateContent>
        <mc:AlternateContent xmlns:mc="http://schemas.openxmlformats.org/markup-compatibility/2006">
          <mc:Choice Requires="x14">
            <control shapeId="1476" r:id="rId159" name="Group Box 452">
              <controlPr defaultSize="0" autoFill="0" autoPict="0">
                <anchor moveWithCells="1">
                  <from>
                    <xdr:col>6</xdr:col>
                    <xdr:colOff>0</xdr:colOff>
                    <xdr:row>125</xdr:row>
                    <xdr:rowOff>0</xdr:rowOff>
                  </from>
                  <to>
                    <xdr:col>9</xdr:col>
                    <xdr:colOff>19050</xdr:colOff>
                    <xdr:row>129</xdr:row>
                    <xdr:rowOff>57150</xdr:rowOff>
                  </to>
                </anchor>
              </controlPr>
            </control>
          </mc:Choice>
        </mc:AlternateContent>
        <mc:AlternateContent xmlns:mc="http://schemas.openxmlformats.org/markup-compatibility/2006">
          <mc:Choice Requires="x14">
            <control shapeId="1477" r:id="rId160" name="Option Button 453">
              <controlPr defaultSize="0" autoFill="0" autoLine="0" autoPict="0">
                <anchor moveWithCells="1">
                  <from>
                    <xdr:col>6</xdr:col>
                    <xdr:colOff>28575</xdr:colOff>
                    <xdr:row>125</xdr:row>
                    <xdr:rowOff>161925</xdr:rowOff>
                  </from>
                  <to>
                    <xdr:col>8</xdr:col>
                    <xdr:colOff>942975</xdr:colOff>
                    <xdr:row>126</xdr:row>
                    <xdr:rowOff>152400</xdr:rowOff>
                  </to>
                </anchor>
              </controlPr>
            </control>
          </mc:Choice>
        </mc:AlternateContent>
        <mc:AlternateContent xmlns:mc="http://schemas.openxmlformats.org/markup-compatibility/2006">
          <mc:Choice Requires="x14">
            <control shapeId="1478" r:id="rId161" name="Option Button 454">
              <controlPr defaultSize="0" autoFill="0" autoLine="0" autoPict="0">
                <anchor moveWithCells="1">
                  <from>
                    <xdr:col>6</xdr:col>
                    <xdr:colOff>28575</xdr:colOff>
                    <xdr:row>126</xdr:row>
                    <xdr:rowOff>161925</xdr:rowOff>
                  </from>
                  <to>
                    <xdr:col>8</xdr:col>
                    <xdr:colOff>942975</xdr:colOff>
                    <xdr:row>128</xdr:row>
                    <xdr:rowOff>133350</xdr:rowOff>
                  </to>
                </anchor>
              </controlPr>
            </control>
          </mc:Choice>
        </mc:AlternateContent>
        <mc:AlternateContent xmlns:mc="http://schemas.openxmlformats.org/markup-compatibility/2006">
          <mc:Choice Requires="x14">
            <control shapeId="1482" r:id="rId162" name="Option Button 458">
              <controlPr defaultSize="0" autoFill="0" autoLine="0" autoPict="0">
                <anchor moveWithCells="1">
                  <from>
                    <xdr:col>2</xdr:col>
                    <xdr:colOff>66675</xdr:colOff>
                    <xdr:row>173</xdr:row>
                    <xdr:rowOff>171450</xdr:rowOff>
                  </from>
                  <to>
                    <xdr:col>2</xdr:col>
                    <xdr:colOff>2447925</xdr:colOff>
                    <xdr:row>175</xdr:row>
                    <xdr:rowOff>0</xdr:rowOff>
                  </to>
                </anchor>
              </controlPr>
            </control>
          </mc:Choice>
        </mc:AlternateContent>
        <mc:AlternateContent xmlns:mc="http://schemas.openxmlformats.org/markup-compatibility/2006">
          <mc:Choice Requires="x14">
            <control shapeId="1483" r:id="rId163" name="Group Box 459">
              <controlPr defaultSize="0" autoFill="0" autoPict="0">
                <anchor moveWithCells="1">
                  <from>
                    <xdr:col>2</xdr:col>
                    <xdr:colOff>0</xdr:colOff>
                    <xdr:row>173</xdr:row>
                    <xdr:rowOff>0</xdr:rowOff>
                  </from>
                  <to>
                    <xdr:col>2</xdr:col>
                    <xdr:colOff>2695575</xdr:colOff>
                    <xdr:row>186</xdr:row>
                    <xdr:rowOff>66675</xdr:rowOff>
                  </to>
                </anchor>
              </controlPr>
            </control>
          </mc:Choice>
        </mc:AlternateContent>
        <mc:AlternateContent xmlns:mc="http://schemas.openxmlformats.org/markup-compatibility/2006">
          <mc:Choice Requires="x14">
            <control shapeId="1484" r:id="rId164" name="Option Button 460">
              <controlPr defaultSize="0" autoFill="0" autoLine="0" autoPict="0">
                <anchor moveWithCells="1">
                  <from>
                    <xdr:col>2</xdr:col>
                    <xdr:colOff>66675</xdr:colOff>
                    <xdr:row>174</xdr:row>
                    <xdr:rowOff>171450</xdr:rowOff>
                  </from>
                  <to>
                    <xdr:col>2</xdr:col>
                    <xdr:colOff>2371725</xdr:colOff>
                    <xdr:row>176</xdr:row>
                    <xdr:rowOff>0</xdr:rowOff>
                  </to>
                </anchor>
              </controlPr>
            </control>
          </mc:Choice>
        </mc:AlternateContent>
        <mc:AlternateContent xmlns:mc="http://schemas.openxmlformats.org/markup-compatibility/2006">
          <mc:Choice Requires="x14">
            <control shapeId="1485" r:id="rId165" name="Option Button 461">
              <controlPr defaultSize="0" autoFill="0" autoLine="0" autoPict="0">
                <anchor moveWithCells="1">
                  <from>
                    <xdr:col>2</xdr:col>
                    <xdr:colOff>66675</xdr:colOff>
                    <xdr:row>175</xdr:row>
                    <xdr:rowOff>171450</xdr:rowOff>
                  </from>
                  <to>
                    <xdr:col>2</xdr:col>
                    <xdr:colOff>2457450</xdr:colOff>
                    <xdr:row>177</xdr:row>
                    <xdr:rowOff>0</xdr:rowOff>
                  </to>
                </anchor>
              </controlPr>
            </control>
          </mc:Choice>
        </mc:AlternateContent>
        <mc:AlternateContent xmlns:mc="http://schemas.openxmlformats.org/markup-compatibility/2006">
          <mc:Choice Requires="x14">
            <control shapeId="1486" r:id="rId166" name="Option Button 462">
              <controlPr defaultSize="0" autoFill="0" autoLine="0" autoPict="0">
                <anchor moveWithCells="1">
                  <from>
                    <xdr:col>2</xdr:col>
                    <xdr:colOff>66675</xdr:colOff>
                    <xdr:row>176</xdr:row>
                    <xdr:rowOff>171450</xdr:rowOff>
                  </from>
                  <to>
                    <xdr:col>2</xdr:col>
                    <xdr:colOff>2466975</xdr:colOff>
                    <xdr:row>178</xdr:row>
                    <xdr:rowOff>0</xdr:rowOff>
                  </to>
                </anchor>
              </controlPr>
            </control>
          </mc:Choice>
        </mc:AlternateContent>
        <mc:AlternateContent xmlns:mc="http://schemas.openxmlformats.org/markup-compatibility/2006">
          <mc:Choice Requires="x14">
            <control shapeId="1487" r:id="rId167" name="Option Button 463">
              <controlPr defaultSize="0" autoFill="0" autoLine="0" autoPict="0">
                <anchor moveWithCells="1">
                  <from>
                    <xdr:col>2</xdr:col>
                    <xdr:colOff>66675</xdr:colOff>
                    <xdr:row>177</xdr:row>
                    <xdr:rowOff>171450</xdr:rowOff>
                  </from>
                  <to>
                    <xdr:col>2</xdr:col>
                    <xdr:colOff>2390775</xdr:colOff>
                    <xdr:row>179</xdr:row>
                    <xdr:rowOff>0</xdr:rowOff>
                  </to>
                </anchor>
              </controlPr>
            </control>
          </mc:Choice>
        </mc:AlternateContent>
        <mc:AlternateContent xmlns:mc="http://schemas.openxmlformats.org/markup-compatibility/2006">
          <mc:Choice Requires="x14">
            <control shapeId="1488" r:id="rId168" name="Option Button 464">
              <controlPr defaultSize="0" autoFill="0" autoLine="0" autoPict="0">
                <anchor moveWithCells="1">
                  <from>
                    <xdr:col>2</xdr:col>
                    <xdr:colOff>66675</xdr:colOff>
                    <xdr:row>178</xdr:row>
                    <xdr:rowOff>171450</xdr:rowOff>
                  </from>
                  <to>
                    <xdr:col>2</xdr:col>
                    <xdr:colOff>2362200</xdr:colOff>
                    <xdr:row>180</xdr:row>
                    <xdr:rowOff>0</xdr:rowOff>
                  </to>
                </anchor>
              </controlPr>
            </control>
          </mc:Choice>
        </mc:AlternateContent>
        <mc:AlternateContent xmlns:mc="http://schemas.openxmlformats.org/markup-compatibility/2006">
          <mc:Choice Requires="x14">
            <control shapeId="1489" r:id="rId169" name="Option Button 465">
              <controlPr defaultSize="0" autoFill="0" autoLine="0" autoPict="0">
                <anchor moveWithCells="1">
                  <from>
                    <xdr:col>2</xdr:col>
                    <xdr:colOff>66675</xdr:colOff>
                    <xdr:row>179</xdr:row>
                    <xdr:rowOff>171450</xdr:rowOff>
                  </from>
                  <to>
                    <xdr:col>2</xdr:col>
                    <xdr:colOff>2438400</xdr:colOff>
                    <xdr:row>181</xdr:row>
                    <xdr:rowOff>0</xdr:rowOff>
                  </to>
                </anchor>
              </controlPr>
            </control>
          </mc:Choice>
        </mc:AlternateContent>
        <mc:AlternateContent xmlns:mc="http://schemas.openxmlformats.org/markup-compatibility/2006">
          <mc:Choice Requires="x14">
            <control shapeId="1490" r:id="rId170" name="Option Button 466">
              <controlPr defaultSize="0" autoFill="0" autoLine="0" autoPict="0">
                <anchor moveWithCells="1">
                  <from>
                    <xdr:col>2</xdr:col>
                    <xdr:colOff>66675</xdr:colOff>
                    <xdr:row>180</xdr:row>
                    <xdr:rowOff>171450</xdr:rowOff>
                  </from>
                  <to>
                    <xdr:col>2</xdr:col>
                    <xdr:colOff>2400300</xdr:colOff>
                    <xdr:row>182</xdr:row>
                    <xdr:rowOff>0</xdr:rowOff>
                  </to>
                </anchor>
              </controlPr>
            </control>
          </mc:Choice>
        </mc:AlternateContent>
        <mc:AlternateContent xmlns:mc="http://schemas.openxmlformats.org/markup-compatibility/2006">
          <mc:Choice Requires="x14">
            <control shapeId="1491" r:id="rId171" name="Option Button 467">
              <controlPr defaultSize="0" autoFill="0" autoLine="0" autoPict="0">
                <anchor moveWithCells="1">
                  <from>
                    <xdr:col>2</xdr:col>
                    <xdr:colOff>66675</xdr:colOff>
                    <xdr:row>181</xdr:row>
                    <xdr:rowOff>171450</xdr:rowOff>
                  </from>
                  <to>
                    <xdr:col>2</xdr:col>
                    <xdr:colOff>2409825</xdr:colOff>
                    <xdr:row>183</xdr:row>
                    <xdr:rowOff>0</xdr:rowOff>
                  </to>
                </anchor>
              </controlPr>
            </control>
          </mc:Choice>
        </mc:AlternateContent>
        <mc:AlternateContent xmlns:mc="http://schemas.openxmlformats.org/markup-compatibility/2006">
          <mc:Choice Requires="x14">
            <control shapeId="1492" r:id="rId172" name="Option Button 468">
              <controlPr defaultSize="0" autoFill="0" autoLine="0" autoPict="0">
                <anchor moveWithCells="1">
                  <from>
                    <xdr:col>2</xdr:col>
                    <xdr:colOff>66675</xdr:colOff>
                    <xdr:row>182</xdr:row>
                    <xdr:rowOff>171450</xdr:rowOff>
                  </from>
                  <to>
                    <xdr:col>2</xdr:col>
                    <xdr:colOff>2362200</xdr:colOff>
                    <xdr:row>184</xdr:row>
                    <xdr:rowOff>0</xdr:rowOff>
                  </to>
                </anchor>
              </controlPr>
            </control>
          </mc:Choice>
        </mc:AlternateContent>
        <mc:AlternateContent xmlns:mc="http://schemas.openxmlformats.org/markup-compatibility/2006">
          <mc:Choice Requires="x14">
            <control shapeId="1493" r:id="rId173" name="Option Button 469">
              <controlPr defaultSize="0" autoFill="0" autoLine="0" autoPict="0">
                <anchor moveWithCells="1">
                  <from>
                    <xdr:col>2</xdr:col>
                    <xdr:colOff>66675</xdr:colOff>
                    <xdr:row>183</xdr:row>
                    <xdr:rowOff>171450</xdr:rowOff>
                  </from>
                  <to>
                    <xdr:col>2</xdr:col>
                    <xdr:colOff>2419350</xdr:colOff>
                    <xdr:row>185</xdr:row>
                    <xdr:rowOff>0</xdr:rowOff>
                  </to>
                </anchor>
              </controlPr>
            </control>
          </mc:Choice>
        </mc:AlternateContent>
        <mc:AlternateContent xmlns:mc="http://schemas.openxmlformats.org/markup-compatibility/2006">
          <mc:Choice Requires="x14">
            <control shapeId="1494" r:id="rId174" name="Option Button 470">
              <controlPr defaultSize="0" autoFill="0" autoLine="0" autoPict="0">
                <anchor moveWithCells="1">
                  <from>
                    <xdr:col>2</xdr:col>
                    <xdr:colOff>66675</xdr:colOff>
                    <xdr:row>184</xdr:row>
                    <xdr:rowOff>171450</xdr:rowOff>
                  </from>
                  <to>
                    <xdr:col>2</xdr:col>
                    <xdr:colOff>2466975</xdr:colOff>
                    <xdr:row>186</xdr:row>
                    <xdr:rowOff>0</xdr:rowOff>
                  </to>
                </anchor>
              </controlPr>
            </control>
          </mc:Choice>
        </mc:AlternateContent>
        <mc:AlternateContent xmlns:mc="http://schemas.openxmlformats.org/markup-compatibility/2006">
          <mc:Choice Requires="x14">
            <control shapeId="1495" r:id="rId175" name="Option Button 471">
              <controlPr defaultSize="0" autoFill="0" autoLine="0" autoPict="0">
                <anchor moveWithCells="1">
                  <from>
                    <xdr:col>2</xdr:col>
                    <xdr:colOff>85725</xdr:colOff>
                    <xdr:row>188</xdr:row>
                    <xdr:rowOff>180975</xdr:rowOff>
                  </from>
                  <to>
                    <xdr:col>2</xdr:col>
                    <xdr:colOff>2486025</xdr:colOff>
                    <xdr:row>190</xdr:row>
                    <xdr:rowOff>9525</xdr:rowOff>
                  </to>
                </anchor>
              </controlPr>
            </control>
          </mc:Choice>
        </mc:AlternateContent>
        <mc:AlternateContent xmlns:mc="http://schemas.openxmlformats.org/markup-compatibility/2006">
          <mc:Choice Requires="x14">
            <control shapeId="1496" r:id="rId176" name="Option Button 472">
              <controlPr defaultSize="0" autoFill="0" autoLine="0" autoPict="0">
                <anchor moveWithCells="1">
                  <from>
                    <xdr:col>2</xdr:col>
                    <xdr:colOff>85725</xdr:colOff>
                    <xdr:row>189</xdr:row>
                    <xdr:rowOff>180975</xdr:rowOff>
                  </from>
                  <to>
                    <xdr:col>2</xdr:col>
                    <xdr:colOff>2457450</xdr:colOff>
                    <xdr:row>191</xdr:row>
                    <xdr:rowOff>9525</xdr:rowOff>
                  </to>
                </anchor>
              </controlPr>
            </control>
          </mc:Choice>
        </mc:AlternateContent>
        <mc:AlternateContent xmlns:mc="http://schemas.openxmlformats.org/markup-compatibility/2006">
          <mc:Choice Requires="x14">
            <control shapeId="1497" r:id="rId177" name="Option Button 473">
              <controlPr defaultSize="0" autoFill="0" autoLine="0" autoPict="0">
                <anchor moveWithCells="1">
                  <from>
                    <xdr:col>2</xdr:col>
                    <xdr:colOff>85725</xdr:colOff>
                    <xdr:row>190</xdr:row>
                    <xdr:rowOff>180975</xdr:rowOff>
                  </from>
                  <to>
                    <xdr:col>2</xdr:col>
                    <xdr:colOff>2295525</xdr:colOff>
                    <xdr:row>192</xdr:row>
                    <xdr:rowOff>9525</xdr:rowOff>
                  </to>
                </anchor>
              </controlPr>
            </control>
          </mc:Choice>
        </mc:AlternateContent>
        <mc:AlternateContent xmlns:mc="http://schemas.openxmlformats.org/markup-compatibility/2006">
          <mc:Choice Requires="x14">
            <control shapeId="1498" r:id="rId178" name="Option Button 474">
              <controlPr defaultSize="0" autoFill="0" autoLine="0" autoPict="0">
                <anchor moveWithCells="1">
                  <from>
                    <xdr:col>2</xdr:col>
                    <xdr:colOff>85725</xdr:colOff>
                    <xdr:row>191</xdr:row>
                    <xdr:rowOff>180975</xdr:rowOff>
                  </from>
                  <to>
                    <xdr:col>2</xdr:col>
                    <xdr:colOff>2390775</xdr:colOff>
                    <xdr:row>193</xdr:row>
                    <xdr:rowOff>9525</xdr:rowOff>
                  </to>
                </anchor>
              </controlPr>
            </control>
          </mc:Choice>
        </mc:AlternateContent>
        <mc:AlternateContent xmlns:mc="http://schemas.openxmlformats.org/markup-compatibility/2006">
          <mc:Choice Requires="x14">
            <control shapeId="1499" r:id="rId179" name="Option Button 475">
              <controlPr defaultSize="0" autoFill="0" autoLine="0" autoPict="0">
                <anchor moveWithCells="1">
                  <from>
                    <xdr:col>2</xdr:col>
                    <xdr:colOff>85725</xdr:colOff>
                    <xdr:row>192</xdr:row>
                    <xdr:rowOff>180975</xdr:rowOff>
                  </from>
                  <to>
                    <xdr:col>2</xdr:col>
                    <xdr:colOff>2286000</xdr:colOff>
                    <xdr:row>194</xdr:row>
                    <xdr:rowOff>9525</xdr:rowOff>
                  </to>
                </anchor>
              </controlPr>
            </control>
          </mc:Choice>
        </mc:AlternateContent>
        <mc:AlternateContent xmlns:mc="http://schemas.openxmlformats.org/markup-compatibility/2006">
          <mc:Choice Requires="x14">
            <control shapeId="1500" r:id="rId180" name="Group Box 476">
              <controlPr defaultSize="0" autoFill="0" autoPict="0">
                <anchor moveWithCells="1">
                  <from>
                    <xdr:col>2</xdr:col>
                    <xdr:colOff>9525</xdr:colOff>
                    <xdr:row>188</xdr:row>
                    <xdr:rowOff>57150</xdr:rowOff>
                  </from>
                  <to>
                    <xdr:col>2</xdr:col>
                    <xdr:colOff>2705100</xdr:colOff>
                    <xdr:row>194</xdr:row>
                    <xdr:rowOff>66675</xdr:rowOff>
                  </to>
                </anchor>
              </controlPr>
            </control>
          </mc:Choice>
        </mc:AlternateContent>
        <mc:AlternateContent xmlns:mc="http://schemas.openxmlformats.org/markup-compatibility/2006">
          <mc:Choice Requires="x14">
            <control shapeId="1501" r:id="rId181" name="Option Button 477">
              <controlPr defaultSize="0" autoFill="0" autoLine="0" autoPict="0">
                <anchor moveWithCells="1">
                  <from>
                    <xdr:col>4</xdr:col>
                    <xdr:colOff>47625</xdr:colOff>
                    <xdr:row>173</xdr:row>
                    <xdr:rowOff>180975</xdr:rowOff>
                  </from>
                  <to>
                    <xdr:col>4</xdr:col>
                    <xdr:colOff>2552700</xdr:colOff>
                    <xdr:row>175</xdr:row>
                    <xdr:rowOff>19050</xdr:rowOff>
                  </to>
                </anchor>
              </controlPr>
            </control>
          </mc:Choice>
        </mc:AlternateContent>
        <mc:AlternateContent xmlns:mc="http://schemas.openxmlformats.org/markup-compatibility/2006">
          <mc:Choice Requires="x14">
            <control shapeId="1502" r:id="rId182" name="Option Button 478">
              <controlPr defaultSize="0" autoFill="0" autoLine="0" autoPict="0">
                <anchor moveWithCells="1">
                  <from>
                    <xdr:col>4</xdr:col>
                    <xdr:colOff>47625</xdr:colOff>
                    <xdr:row>174</xdr:row>
                    <xdr:rowOff>180975</xdr:rowOff>
                  </from>
                  <to>
                    <xdr:col>4</xdr:col>
                    <xdr:colOff>2524125</xdr:colOff>
                    <xdr:row>176</xdr:row>
                    <xdr:rowOff>19050</xdr:rowOff>
                  </to>
                </anchor>
              </controlPr>
            </control>
          </mc:Choice>
        </mc:AlternateContent>
        <mc:AlternateContent xmlns:mc="http://schemas.openxmlformats.org/markup-compatibility/2006">
          <mc:Choice Requires="x14">
            <control shapeId="1503" r:id="rId183" name="Group Box 479">
              <controlPr defaultSize="0" autoFill="0" autoPict="0">
                <anchor moveWithCells="1">
                  <from>
                    <xdr:col>4</xdr:col>
                    <xdr:colOff>0</xdr:colOff>
                    <xdr:row>173</xdr:row>
                    <xdr:rowOff>0</xdr:rowOff>
                  </from>
                  <to>
                    <xdr:col>4</xdr:col>
                    <xdr:colOff>2695575</xdr:colOff>
                    <xdr:row>178</xdr:row>
                    <xdr:rowOff>114300</xdr:rowOff>
                  </to>
                </anchor>
              </controlPr>
            </control>
          </mc:Choice>
        </mc:AlternateContent>
        <mc:AlternateContent xmlns:mc="http://schemas.openxmlformats.org/markup-compatibility/2006">
          <mc:Choice Requires="x14">
            <control shapeId="1504" r:id="rId184" name="Option Button 480">
              <controlPr defaultSize="0" autoFill="0" autoLine="0" autoPict="0">
                <anchor moveWithCells="1">
                  <from>
                    <xdr:col>4</xdr:col>
                    <xdr:colOff>47625</xdr:colOff>
                    <xdr:row>175</xdr:row>
                    <xdr:rowOff>180975</xdr:rowOff>
                  </from>
                  <to>
                    <xdr:col>4</xdr:col>
                    <xdr:colOff>2552700</xdr:colOff>
                    <xdr:row>177</xdr:row>
                    <xdr:rowOff>19050</xdr:rowOff>
                  </to>
                </anchor>
              </controlPr>
            </control>
          </mc:Choice>
        </mc:AlternateContent>
        <mc:AlternateContent xmlns:mc="http://schemas.openxmlformats.org/markup-compatibility/2006">
          <mc:Choice Requires="x14">
            <control shapeId="1505" r:id="rId185" name="Option Button 481">
              <controlPr defaultSize="0" autoFill="0" autoLine="0" autoPict="0">
                <anchor moveWithCells="1">
                  <from>
                    <xdr:col>4</xdr:col>
                    <xdr:colOff>47625</xdr:colOff>
                    <xdr:row>176</xdr:row>
                    <xdr:rowOff>180975</xdr:rowOff>
                  </from>
                  <to>
                    <xdr:col>4</xdr:col>
                    <xdr:colOff>2552700</xdr:colOff>
                    <xdr:row>178</xdr:row>
                    <xdr:rowOff>19050</xdr:rowOff>
                  </to>
                </anchor>
              </controlPr>
            </control>
          </mc:Choice>
        </mc:AlternateContent>
        <mc:AlternateContent xmlns:mc="http://schemas.openxmlformats.org/markup-compatibility/2006">
          <mc:Choice Requires="x14">
            <control shapeId="1506" r:id="rId186" name="Option Button 482">
              <controlPr defaultSize="0" autoFill="0" autoLine="0" autoPict="0">
                <anchor moveWithCells="1">
                  <from>
                    <xdr:col>2</xdr:col>
                    <xdr:colOff>114300</xdr:colOff>
                    <xdr:row>225</xdr:row>
                    <xdr:rowOff>76200</xdr:rowOff>
                  </from>
                  <to>
                    <xdr:col>2</xdr:col>
                    <xdr:colOff>2247900</xdr:colOff>
                    <xdr:row>226</xdr:row>
                    <xdr:rowOff>123825</xdr:rowOff>
                  </to>
                </anchor>
              </controlPr>
            </control>
          </mc:Choice>
        </mc:AlternateContent>
        <mc:AlternateContent xmlns:mc="http://schemas.openxmlformats.org/markup-compatibility/2006">
          <mc:Choice Requires="x14">
            <control shapeId="1508" r:id="rId187" name="Option Button 484">
              <controlPr defaultSize="0" autoFill="0" autoLine="0" autoPict="0">
                <anchor moveWithCells="1">
                  <from>
                    <xdr:col>2</xdr:col>
                    <xdr:colOff>66675</xdr:colOff>
                    <xdr:row>133</xdr:row>
                    <xdr:rowOff>180975</xdr:rowOff>
                  </from>
                  <to>
                    <xdr:col>2</xdr:col>
                    <xdr:colOff>2228850</xdr:colOff>
                    <xdr:row>135</xdr:row>
                    <xdr:rowOff>9525</xdr:rowOff>
                  </to>
                </anchor>
              </controlPr>
            </control>
          </mc:Choice>
        </mc:AlternateContent>
        <mc:AlternateContent xmlns:mc="http://schemas.openxmlformats.org/markup-compatibility/2006">
          <mc:Choice Requires="x14">
            <control shapeId="1509" r:id="rId188" name="Option Button 485">
              <controlPr defaultSize="0" autoFill="0" autoLine="0" autoPict="0">
                <anchor moveWithCells="1">
                  <from>
                    <xdr:col>2</xdr:col>
                    <xdr:colOff>66675</xdr:colOff>
                    <xdr:row>134</xdr:row>
                    <xdr:rowOff>180975</xdr:rowOff>
                  </from>
                  <to>
                    <xdr:col>2</xdr:col>
                    <xdr:colOff>2657475</xdr:colOff>
                    <xdr:row>136</xdr:row>
                    <xdr:rowOff>19050</xdr:rowOff>
                  </to>
                </anchor>
              </controlPr>
            </control>
          </mc:Choice>
        </mc:AlternateContent>
        <mc:AlternateContent xmlns:mc="http://schemas.openxmlformats.org/markup-compatibility/2006">
          <mc:Choice Requires="x14">
            <control shapeId="1510" r:id="rId189" name="Option Button 486">
              <controlPr defaultSize="0" autoFill="0" autoLine="0" autoPict="0">
                <anchor moveWithCells="1">
                  <from>
                    <xdr:col>2</xdr:col>
                    <xdr:colOff>66675</xdr:colOff>
                    <xdr:row>135</xdr:row>
                    <xdr:rowOff>180975</xdr:rowOff>
                  </from>
                  <to>
                    <xdr:col>2</xdr:col>
                    <xdr:colOff>2676525</xdr:colOff>
                    <xdr:row>137</xdr:row>
                    <xdr:rowOff>38100</xdr:rowOff>
                  </to>
                </anchor>
              </controlPr>
            </control>
          </mc:Choice>
        </mc:AlternateContent>
        <mc:AlternateContent xmlns:mc="http://schemas.openxmlformats.org/markup-compatibility/2006">
          <mc:Choice Requires="x14">
            <control shapeId="1511" r:id="rId190" name="Option Button 487">
              <controlPr defaultSize="0" autoFill="0" autoLine="0" autoPict="0">
                <anchor moveWithCells="1">
                  <from>
                    <xdr:col>2</xdr:col>
                    <xdr:colOff>66675</xdr:colOff>
                    <xdr:row>136</xdr:row>
                    <xdr:rowOff>180975</xdr:rowOff>
                  </from>
                  <to>
                    <xdr:col>2</xdr:col>
                    <xdr:colOff>2324100</xdr:colOff>
                    <xdr:row>138</xdr:row>
                    <xdr:rowOff>9525</xdr:rowOff>
                  </to>
                </anchor>
              </controlPr>
            </control>
          </mc:Choice>
        </mc:AlternateContent>
        <mc:AlternateContent xmlns:mc="http://schemas.openxmlformats.org/markup-compatibility/2006">
          <mc:Choice Requires="x14">
            <control shapeId="1512" r:id="rId191" name="Option Button 488">
              <controlPr defaultSize="0" autoFill="0" autoLine="0" autoPict="0">
                <anchor moveWithCells="1">
                  <from>
                    <xdr:col>2</xdr:col>
                    <xdr:colOff>66675</xdr:colOff>
                    <xdr:row>137</xdr:row>
                    <xdr:rowOff>180975</xdr:rowOff>
                  </from>
                  <to>
                    <xdr:col>2</xdr:col>
                    <xdr:colOff>2657475</xdr:colOff>
                    <xdr:row>139</xdr:row>
                    <xdr:rowOff>38100</xdr:rowOff>
                  </to>
                </anchor>
              </controlPr>
            </control>
          </mc:Choice>
        </mc:AlternateContent>
        <mc:AlternateContent xmlns:mc="http://schemas.openxmlformats.org/markup-compatibility/2006">
          <mc:Choice Requires="x14">
            <control shapeId="1513" r:id="rId192" name="Group Box 489">
              <controlPr defaultSize="0" autoFill="0" autoPict="0">
                <anchor moveWithCells="1">
                  <from>
                    <xdr:col>2</xdr:col>
                    <xdr:colOff>9525</xdr:colOff>
                    <xdr:row>133</xdr:row>
                    <xdr:rowOff>0</xdr:rowOff>
                  </from>
                  <to>
                    <xdr:col>2</xdr:col>
                    <xdr:colOff>2705100</xdr:colOff>
                    <xdr:row>139</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58" yWindow="652" count="10">
        <x14:dataValidation type="whole" allowBlank="1" showInputMessage="1" showErrorMessage="1" errorTitle="Onjuiste invoerwaarde" error="Het ingevulde vermogen bedraagt niet een geheel aantal kW of ligt niet tussen de vermogensgrenzen van de gekozen categorie." promptTitle="Vermogen" xr:uid="{EB06A592-F105-443C-8C80-5F5D191BAAA2}">
          <x14:formula1>
            <xm:f>Hulpblad!#REF!</xm:f>
          </x14:formula1>
          <x14:formula2>
            <xm:f>Hulpblad!C295</xm:f>
          </x14:formula2>
          <xm:sqref>C198</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8858F6EF-7FC4-4DBD-94A8-794DA57CF2F9}">
          <x14:formula1>
            <xm:f>Hulpblad!#REF!</xm:f>
          </x14:formula1>
          <x14:formula2>
            <xm:f>Hulpblad!C295</xm:f>
          </x14:formula2>
          <xm:sqref>C200</xm:sqref>
        </x14:dataValidation>
        <x14:dataValidation type="whole" allowBlank="1" showInputMessage="1" showErrorMessage="1" error="De aanschafdatum kan niet na de installatiedatum liggen!" xr:uid="{E9218268-1DE8-4601-9EB3-03D50989F2CF}">
          <x14:formula1>
            <xm:f>Hulpblad!C291</xm:f>
          </x14:formula1>
          <x14:formula2>
            <xm:f>Hulpblad!C292</xm:f>
          </x14:formula2>
          <xm:sqref>E182</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24386B8B-59B5-42FE-BBC6-503588BF666D}">
          <x14:formula1>
            <xm:f>Hulpblad!C322</xm:f>
          </x14:formula1>
          <x14:formula2>
            <xm:f>Hulpblad!C323</xm:f>
          </x14:formula2>
          <xm:sqref>C196:C197</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8D336A18-F8C4-406B-ACC3-2BE13B47F097}">
          <x14:formula1>
            <xm:f>Hulpblad!C246</xm:f>
          </x14:formula1>
          <x14:formula2>
            <xm:f>Hulpblad!#REF!</xm:f>
          </x14:formula2>
          <xm:sqref>C199</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E7EC8D82-81A4-41AF-870B-53D841704AF2}">
          <x14:formula1>
            <xm:f>Hulpblad!C295</xm:f>
          </x14:formula1>
          <x14:formula2>
            <xm:f>Hulpblad!C296</xm:f>
          </x14:formula2>
          <xm:sqref>C168:C169</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3F8859AD-3742-4F3E-85B9-9FE6B07E3BF9}">
          <x14:formula1>
            <xm:f>Hulpblad!C298</xm:f>
          </x14:formula1>
          <x14:formula2>
            <xm:f>Hulpblad!C299</xm:f>
          </x14:formula2>
          <xm:sqref>C170:C172</xm:sqref>
        </x14:dataValidation>
        <x14:dataValidation type="whole" allowBlank="1" showInputMessage="1" showErrorMessage="1" error="De aanschafdatum kan niet na de installatiedatum liggen!" xr:uid="{50D116F3-B5CB-4081-9259-B7F5AEFCFA91}">
          <x14:formula1>
            <xm:f>Hulpblad!C249</xm:f>
          </x14:formula1>
          <x14:formula2>
            <xm:f>Hulpblad!C250</xm:f>
          </x14:formula2>
          <xm:sqref>E152</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B3A598B5-5362-400B-AE53-D3FDB1EAA66D}">
          <x14:formula1>
            <xm:f>Hulpblad!C246</xm:f>
          </x14:formula1>
          <x14:formula2>
            <xm:f>Hulpblad!#REF!</xm:f>
          </x14:formula2>
          <xm:sqref>C167</xm:sqref>
        </x14:dataValidation>
        <x14:dataValidation type="whole" allowBlank="1" showInputMessage="1" showErrorMessage="1" errorTitle="Onjuiste invoerwaarde" error="Het ingevulde vermogen bedraagt niet een geheel aantal kW of ligt niet tussen de vermogensgrenzen van de gekozen categorie." promptTitle="Vermogen" xr:uid="{B4D64C51-EC42-4D20-8E87-E4AF903BBC9E}">
          <x14:formula1>
            <xm:f>Hulpblad!C245</xm:f>
          </x14:formula1>
          <x14:formula2>
            <xm:f>Hulpblad!C246</xm:f>
          </x14:formula2>
          <xm:sqref>C166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846A6-9020-4006-A279-D1FEA64A9C9A}">
  <sheetPr>
    <pageSetUpPr fitToPage="1"/>
  </sheetPr>
  <dimension ref="A1:D39"/>
  <sheetViews>
    <sheetView workbookViewId="0">
      <selection activeCell="A40" sqref="A40:XFD1048576"/>
    </sheetView>
  </sheetViews>
  <sheetFormatPr defaultColWidth="0" defaultRowHeight="15" zeroHeight="1"/>
  <cols>
    <col min="1" max="1" width="55.42578125" style="2" customWidth="1"/>
    <col min="2" max="3" width="40.7109375" style="2" customWidth="1"/>
    <col min="4" max="4" width="12.5703125" style="2" customWidth="1"/>
    <col min="5" max="16384" width="9.140625" style="2" hidden="1"/>
  </cols>
  <sheetData>
    <row r="1" spans="1:3" ht="26.25">
      <c r="A1" s="82" t="s">
        <v>129</v>
      </c>
    </row>
    <row r="2" spans="1:3" ht="26.25">
      <c r="A2" s="82"/>
    </row>
    <row r="3" spans="1:3"/>
    <row r="4" spans="1:3" ht="15.75">
      <c r="A4" s="98" t="s">
        <v>133</v>
      </c>
      <c r="B4" s="100" t="s">
        <v>130</v>
      </c>
      <c r="C4" s="100" t="s">
        <v>142</v>
      </c>
    </row>
    <row r="5" spans="1:3" ht="20.100000000000001" customHeight="1">
      <c r="A5" s="88" t="s">
        <v>259</v>
      </c>
      <c r="B5" s="130">
        <f>'Keuzeblad maatregelen'!M30</f>
        <v>0</v>
      </c>
      <c r="C5" s="91">
        <f>'Keuzeblad maatregelen'!O30+'Keuzeblad maatregelen'!O69</f>
        <v>0</v>
      </c>
    </row>
    <row r="6" spans="1:3" ht="20.100000000000001" customHeight="1">
      <c r="A6" s="88" t="s">
        <v>258</v>
      </c>
      <c r="B6" s="130">
        <f>'Keuzeblad maatregelen'!M36</f>
        <v>0</v>
      </c>
      <c r="C6" s="91">
        <f>'Keuzeblad maatregelen'!O36+'Keuzeblad maatregelen'!O71</f>
        <v>0</v>
      </c>
    </row>
    <row r="7" spans="1:3" ht="20.100000000000001" customHeight="1">
      <c r="A7" s="89" t="s">
        <v>131</v>
      </c>
      <c r="B7" s="89">
        <f>'Keuzeblad maatregelen'!M42</f>
        <v>0</v>
      </c>
      <c r="C7" s="92">
        <f>'Keuzeblad maatregelen'!O42+'Keuzeblad maatregelen'!O73</f>
        <v>0</v>
      </c>
    </row>
    <row r="8" spans="1:3" ht="20.100000000000001" customHeight="1">
      <c r="A8" s="89" t="s">
        <v>132</v>
      </c>
      <c r="B8" s="89">
        <f>'Keuzeblad maatregelen'!M48</f>
        <v>0</v>
      </c>
      <c r="C8" s="92">
        <f>'Keuzeblad maatregelen'!O48+'Keuzeblad maatregelen'!O75</f>
        <v>0</v>
      </c>
    </row>
    <row r="9" spans="1:3" ht="20.100000000000001" customHeight="1">
      <c r="A9" s="90" t="s">
        <v>260</v>
      </c>
      <c r="B9" s="89">
        <f>'Keuzeblad maatregelen'!M54</f>
        <v>0</v>
      </c>
      <c r="C9" s="92">
        <f>'Keuzeblad maatregelen'!O54+'Keuzeblad maatregelen'!O77</f>
        <v>0</v>
      </c>
    </row>
    <row r="10" spans="1:3" ht="20.100000000000001" customHeight="1">
      <c r="A10" s="90" t="s">
        <v>261</v>
      </c>
      <c r="B10" s="90">
        <f>'Keuzeblad maatregelen'!M60</f>
        <v>0</v>
      </c>
      <c r="C10" s="93">
        <f>'Keuzeblad maatregelen'!O60+'Keuzeblad maatregelen'!O79</f>
        <v>0</v>
      </c>
    </row>
    <row r="11" spans="1:3" ht="20.100000000000001" customHeight="1">
      <c r="A11" s="39"/>
      <c r="B11" s="39"/>
      <c r="C11" s="95"/>
    </row>
    <row r="12" spans="1:3" ht="20.100000000000001" customHeight="1">
      <c r="A12" s="99" t="s">
        <v>139</v>
      </c>
      <c r="B12" s="100" t="s">
        <v>130</v>
      </c>
      <c r="C12" s="100"/>
    </row>
    <row r="13" spans="1:3" ht="20.100000000000001" customHeight="1">
      <c r="A13" s="88" t="s">
        <v>134</v>
      </c>
      <c r="B13" s="88">
        <f>IF('Keuzeblad maatregelen'!M116&gt;0,'Keuzeblad maatregelen'!M87+'Keuzeblad maatregelen'!M89,0)</f>
        <v>0</v>
      </c>
      <c r="C13" s="91">
        <f>IF('Keuzeblad maatregelen'!M116&gt;0,'Keuzeblad maatregelen'!O87+'Keuzeblad maatregelen'!O89,0)</f>
        <v>0</v>
      </c>
    </row>
    <row r="14" spans="1:3" ht="20.100000000000001" customHeight="1">
      <c r="A14" s="89" t="s">
        <v>135</v>
      </c>
      <c r="B14" s="89">
        <f>IF('Keuzeblad maatregelen'!M116&gt;0,'Keuzeblad maatregelen'!M92+'Keuzeblad maatregelen'!M94,0)</f>
        <v>0</v>
      </c>
      <c r="C14" s="92">
        <f>IF('Keuzeblad maatregelen'!M116&gt;0,'Keuzeblad maatregelen'!O92+'Keuzeblad maatregelen'!O94,0)</f>
        <v>0</v>
      </c>
    </row>
    <row r="15" spans="1:3" ht="20.100000000000001" customHeight="1">
      <c r="A15" s="39" t="s">
        <v>144</v>
      </c>
      <c r="B15" s="39">
        <f>IF('Keuzeblad maatregelen'!M116&gt;0,'Keuzeblad maatregelen'!M97+'Keuzeblad maatregelen'!M99,0)</f>
        <v>0</v>
      </c>
      <c r="C15" s="95">
        <f>IF('Keuzeblad maatregelen'!M116&gt;0,'Keuzeblad maatregelen'!O97+'Keuzeblad maatregelen'!O99,0)</f>
        <v>0</v>
      </c>
    </row>
    <row r="16" spans="1:3" ht="20.100000000000001" customHeight="1">
      <c r="A16" s="89" t="s">
        <v>136</v>
      </c>
      <c r="B16" s="89">
        <f>IF('Keuzeblad maatregelen'!M116&gt;0,'Keuzeblad maatregelen'!M102+'Keuzeblad maatregelen'!M104,0)</f>
        <v>0</v>
      </c>
      <c r="C16" s="92">
        <f>IF('Keuzeblad maatregelen'!M116&gt;0,'Keuzeblad maatregelen'!O102+'Keuzeblad maatregelen'!O104,0)</f>
        <v>0</v>
      </c>
    </row>
    <row r="17" spans="1:4" ht="20.100000000000001" customHeight="1">
      <c r="A17" s="90" t="s">
        <v>145</v>
      </c>
      <c r="B17" s="90">
        <f>IF('Keuzeblad maatregelen'!M116&gt;0,'Keuzeblad maatregelen'!M107+'Keuzeblad maatregelen'!M109,0)</f>
        <v>0</v>
      </c>
      <c r="C17" s="93">
        <f>IF('Keuzeblad maatregelen'!M116&gt;0,'Keuzeblad maatregelen'!O107+'Keuzeblad maatregelen'!O109,0)</f>
        <v>0</v>
      </c>
    </row>
    <row r="18" spans="1:4" ht="20.100000000000001" customHeight="1">
      <c r="A18" s="89" t="s">
        <v>146</v>
      </c>
      <c r="B18" s="89">
        <f>IF('Keuzeblad maatregelen'!M116&gt;0,'Keuzeblad maatregelen'!M112+'Keuzeblad maatregelen'!M114,0)</f>
        <v>0</v>
      </c>
      <c r="C18" s="92">
        <f>IF('Keuzeblad maatregelen'!M116&gt;0,'Keuzeblad maatregelen'!O112+'Keuzeblad maatregelen'!O114,0)</f>
        <v>0</v>
      </c>
    </row>
    <row r="19" spans="1:4" ht="20.100000000000001" customHeight="1">
      <c r="A19" s="39"/>
      <c r="B19" s="39"/>
      <c r="C19" s="95"/>
    </row>
    <row r="20" spans="1:4" ht="20.100000000000001" customHeight="1">
      <c r="A20" s="99" t="s">
        <v>405</v>
      </c>
      <c r="B20" s="39"/>
      <c r="C20" s="95"/>
    </row>
    <row r="21" spans="1:4" ht="20.100000000000001" customHeight="1">
      <c r="A21" s="148" t="s">
        <v>406</v>
      </c>
      <c r="B21" s="89"/>
      <c r="C21" s="92">
        <f>'Keuzeblad maatregelen'!O126</f>
        <v>0</v>
      </c>
    </row>
    <row r="22" spans="1:4"/>
    <row r="23" spans="1:4" ht="15.75">
      <c r="A23" s="98" t="s">
        <v>137</v>
      </c>
      <c r="B23" s="152" t="s">
        <v>528</v>
      </c>
      <c r="C23" s="100"/>
    </row>
    <row r="24" spans="1:4">
      <c r="A24" s="84" t="str">
        <f>"Warmtepomp "&amp;IF(Hulpblad!C224="Geen warmtepomp","",Hulpblad!C224)</f>
        <v xml:space="preserve">Warmtepomp </v>
      </c>
      <c r="B24" s="94" t="str">
        <f>IF('Keuzeblad maatregelen'!C166=0,"",'Keuzeblad maatregelen'!C166)</f>
        <v/>
      </c>
      <c r="C24" s="85">
        <f>'Keuzeblad maatregelen'!O144</f>
        <v>0</v>
      </c>
    </row>
    <row r="25" spans="1:4">
      <c r="A25" s="151" t="str">
        <f>"Extra warmtepomp "&amp;IF(Hulpblad!C265="Geen warmtepomp","",Hulpblad!C265)</f>
        <v xml:space="preserve">Extra warmtepomp </v>
      </c>
      <c r="B25" s="94" t="str">
        <f>IF('Keuzeblad maatregelen'!C196=0,"",'Keuzeblad maatregelen'!C196)</f>
        <v/>
      </c>
      <c r="C25" s="87">
        <f>'Keuzeblad maatregelen'!O174</f>
        <v>0</v>
      </c>
    </row>
    <row r="26" spans="1:4">
      <c r="A26" s="86"/>
      <c r="B26" s="101"/>
      <c r="C26" s="87"/>
    </row>
    <row r="27" spans="1:4" ht="15.75">
      <c r="A27" s="103" t="s">
        <v>9</v>
      </c>
      <c r="B27" s="102"/>
      <c r="C27" s="100"/>
    </row>
    <row r="28" spans="1:4">
      <c r="A28" s="84" t="str">
        <f>IF(Hulpblad!C301="Geen zonneboiler","Zonneboiler",Hulpblad!C301)</f>
        <v>Zonneboiler</v>
      </c>
      <c r="B28" s="84"/>
      <c r="C28" s="85">
        <f>'Keuzeblad maatregelen'!O205</f>
        <v>0</v>
      </c>
      <c r="D28" s="2" t="s">
        <v>141</v>
      </c>
    </row>
    <row r="29" spans="1:4">
      <c r="C29" s="31"/>
    </row>
    <row r="30" spans="1:4" ht="15.75">
      <c r="A30" s="103" t="s">
        <v>143</v>
      </c>
      <c r="B30" s="83"/>
      <c r="C30" s="100"/>
    </row>
    <row r="31" spans="1:4">
      <c r="A31" s="84" t="s">
        <v>138</v>
      </c>
      <c r="B31" s="84"/>
      <c r="C31" s="85">
        <f>'Keuzeblad maatregelen'!O218</f>
        <v>0</v>
      </c>
    </row>
    <row r="32" spans="1:4">
      <c r="A32" s="84" t="s">
        <v>46</v>
      </c>
      <c r="B32" s="84"/>
      <c r="C32" s="85">
        <f>'Keuzeblad maatregelen'!O239</f>
        <v>0</v>
      </c>
    </row>
    <row r="33" spans="1:3"/>
    <row r="34" spans="1:3" ht="23.25">
      <c r="A34" s="96" t="s">
        <v>140</v>
      </c>
      <c r="C34" s="97">
        <f>SUM(C5:C32)</f>
        <v>0</v>
      </c>
    </row>
    <row r="35" spans="1:3"/>
    <row r="36" spans="1:3"/>
    <row r="37" spans="1:3"/>
    <row r="38" spans="1:3"/>
    <row r="39" spans="1:3"/>
  </sheetData>
  <sheetProtection algorithmName="SHA-512" hashValue="NHnDHKBaD+iF/yk7y18An+jPg0jF5Ij9R0TqjINeDE5IscMAc43e8rojijhv2JGStHwzN6PpAPXG1j/AXrIsGg==" saltValue="hFddYC2u7rOBLrmxM9PWLg==" spinCount="100000" sheet="1" objects="1" scenarios="1"/>
  <pageMargins left="0.7" right="0.7" top="0.75" bottom="0.75" header="0.3" footer="0.3"/>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0C93C-DE4A-4407-AD38-FD14A8F368A5}">
  <dimension ref="A1:N686"/>
  <sheetViews>
    <sheetView topLeftCell="A247" zoomScale="75" zoomScaleNormal="75" workbookViewId="0">
      <selection activeCell="B239" sqref="B239"/>
    </sheetView>
  </sheetViews>
  <sheetFormatPr defaultRowHeight="15"/>
  <cols>
    <col min="2" max="2" width="82.140625" customWidth="1"/>
    <col min="3" max="3" width="97.85546875" customWidth="1"/>
    <col min="4" max="4" width="58.42578125" customWidth="1"/>
    <col min="5" max="5" width="75.85546875" customWidth="1"/>
    <col min="6" max="6" width="70.85546875" customWidth="1"/>
    <col min="7" max="7" width="32.85546875" customWidth="1"/>
    <col min="8" max="8" width="44.28515625" customWidth="1"/>
    <col min="9" max="9" width="36.28515625" customWidth="1"/>
    <col min="10" max="10" width="30.7109375" customWidth="1"/>
    <col min="11" max="11" width="29.28515625" customWidth="1"/>
    <col min="12" max="12" width="30" customWidth="1"/>
    <col min="13" max="13" width="26.140625" customWidth="1"/>
    <col min="14" max="14" width="29.5703125" customWidth="1"/>
  </cols>
  <sheetData>
    <row r="1" spans="1:14" s="28" customFormat="1" ht="28.5">
      <c r="A1" s="158" t="s">
        <v>54</v>
      </c>
      <c r="H1" s="141"/>
    </row>
    <row r="2" spans="1:14" s="28" customFormat="1" ht="28.5">
      <c r="A2" s="158"/>
      <c r="H2" s="141"/>
    </row>
    <row r="3" spans="1:14" s="28" customFormat="1" ht="28.5">
      <c r="A3" s="158"/>
      <c r="B3" s="122" t="s">
        <v>550</v>
      </c>
      <c r="H3" s="141"/>
    </row>
    <row r="4" spans="1:14" s="28" customFormat="1" ht="15.75" customHeight="1">
      <c r="M4" s="189"/>
    </row>
    <row r="5" spans="1:14" s="28" customFormat="1">
      <c r="B5" s="25" t="s">
        <v>64</v>
      </c>
      <c r="E5" s="25"/>
      <c r="M5" s="189"/>
    </row>
    <row r="6" spans="1:14" s="28" customFormat="1">
      <c r="A6" s="28">
        <v>1</v>
      </c>
      <c r="B6" s="28" t="s">
        <v>547</v>
      </c>
      <c r="E6" s="25"/>
      <c r="M6" s="189"/>
    </row>
    <row r="7" spans="1:14" s="28" customFormat="1">
      <c r="A7" s="28">
        <v>2</v>
      </c>
      <c r="B7" s="28" t="s">
        <v>548</v>
      </c>
      <c r="E7" s="25"/>
      <c r="M7" s="189"/>
    </row>
    <row r="8" spans="1:14" s="28" customFormat="1">
      <c r="A8" s="28">
        <v>3</v>
      </c>
      <c r="B8" s="28" t="s">
        <v>549</v>
      </c>
      <c r="E8" s="25"/>
      <c r="M8" s="189"/>
    </row>
    <row r="9" spans="1:14" s="28" customFormat="1">
      <c r="B9" s="114">
        <v>1</v>
      </c>
      <c r="C9" s="114" t="str">
        <f>VLOOKUP(B9,A6:B8,2,FALSE)</f>
        <v>Nee, ik heb niet eerder ISDE-subsidie ontvangen</v>
      </c>
      <c r="M9" s="189"/>
    </row>
    <row r="10" spans="1:14" s="28" customFormat="1">
      <c r="M10" s="189"/>
      <c r="N10" s="190"/>
    </row>
    <row r="11" spans="1:14" s="28" customFormat="1" ht="18.75" customHeight="1">
      <c r="B11" s="121" t="s">
        <v>3</v>
      </c>
      <c r="C11" s="118"/>
      <c r="D11" s="118"/>
      <c r="E11" s="118"/>
      <c r="F11" s="118"/>
      <c r="M11" s="189"/>
      <c r="N11" s="190"/>
    </row>
    <row r="12" spans="1:14" s="28" customFormat="1" ht="33.75" customHeight="1">
      <c r="B12" s="24" t="s">
        <v>55</v>
      </c>
      <c r="E12" s="25"/>
      <c r="F12" s="24"/>
      <c r="G12" s="25"/>
      <c r="H12" s="25"/>
      <c r="I12" s="142"/>
      <c r="J12" s="142"/>
      <c r="K12" s="143"/>
      <c r="L12" s="24"/>
      <c r="M12" s="189"/>
      <c r="N12" s="190"/>
    </row>
    <row r="13" spans="1:14" s="28" customFormat="1">
      <c r="A13" s="28">
        <v>1</v>
      </c>
      <c r="B13" s="28" t="s">
        <v>40</v>
      </c>
      <c r="G13" s="30"/>
      <c r="H13" s="30"/>
      <c r="I13" s="30"/>
      <c r="L13" s="118"/>
      <c r="M13" s="118"/>
    </row>
    <row r="14" spans="1:14" s="28" customFormat="1">
      <c r="A14" s="28">
        <v>2</v>
      </c>
      <c r="B14" s="30" t="s">
        <v>250</v>
      </c>
      <c r="G14" s="30"/>
      <c r="H14" s="30"/>
      <c r="I14" s="30"/>
      <c r="L14" s="118"/>
      <c r="M14" s="118"/>
    </row>
    <row r="15" spans="1:14" s="28" customFormat="1">
      <c r="B15" s="118">
        <v>1</v>
      </c>
      <c r="C15" s="114" t="str">
        <f>VLOOKUP(B15,A13:B14,2,FALSE)</f>
        <v>Geen dakisolatie</v>
      </c>
      <c r="G15" s="30"/>
      <c r="H15" s="30"/>
      <c r="I15" s="30"/>
      <c r="L15" s="118"/>
      <c r="M15" s="118"/>
    </row>
    <row r="16" spans="1:14" s="28" customFormat="1">
      <c r="B16" s="25" t="s">
        <v>218</v>
      </c>
      <c r="G16" s="30"/>
      <c r="H16" s="30"/>
      <c r="I16" s="30"/>
      <c r="L16" s="118"/>
      <c r="M16" s="118"/>
    </row>
    <row r="17" spans="1:13" s="28" customFormat="1">
      <c r="A17" s="28">
        <v>1</v>
      </c>
      <c r="B17" s="28" t="s">
        <v>48</v>
      </c>
      <c r="G17" s="30"/>
      <c r="H17" s="30"/>
      <c r="I17" s="30"/>
      <c r="L17" s="118"/>
      <c r="M17" s="118"/>
    </row>
    <row r="18" spans="1:13" s="28" customFormat="1">
      <c r="A18" s="28">
        <v>2</v>
      </c>
      <c r="B18" s="28" t="s">
        <v>324</v>
      </c>
      <c r="G18" s="30"/>
      <c r="H18" s="30"/>
      <c r="I18" s="30"/>
      <c r="L18" s="118"/>
      <c r="M18" s="118"/>
    </row>
    <row r="19" spans="1:13" s="28" customFormat="1">
      <c r="A19" s="28">
        <v>3</v>
      </c>
      <c r="B19" s="113" t="s">
        <v>337</v>
      </c>
      <c r="G19" s="30"/>
      <c r="H19" s="30"/>
      <c r="I19" s="30"/>
      <c r="L19" s="118"/>
      <c r="M19" s="118"/>
    </row>
    <row r="20" spans="1:13" s="28" customFormat="1">
      <c r="B20" s="120">
        <v>1</v>
      </c>
      <c r="C20" s="119" t="str">
        <f>VLOOKUP(B20,A17:B19,2,FALSE)</f>
        <v>Niet van toepassing</v>
      </c>
      <c r="G20" s="30"/>
      <c r="H20" s="30"/>
      <c r="I20" s="30"/>
      <c r="L20" s="118"/>
      <c r="M20" s="118"/>
    </row>
    <row r="21" spans="1:13" s="28" customFormat="1">
      <c r="B21" s="24" t="s">
        <v>225</v>
      </c>
      <c r="C21" s="114" t="str">
        <f>Hulpblad!C15&amp;" "&amp;Hulpblad!C20&amp;""</f>
        <v>Geen dakisolatie Niet van toepassing</v>
      </c>
      <c r="G21" s="30"/>
      <c r="H21" s="30"/>
      <c r="I21" s="30"/>
      <c r="L21" s="118"/>
      <c r="M21" s="118"/>
    </row>
    <row r="22" spans="1:13" s="28" customFormat="1">
      <c r="B22" s="113"/>
      <c r="C22" s="114"/>
      <c r="G22" s="30"/>
      <c r="H22" s="30"/>
      <c r="I22" s="30"/>
      <c r="L22" s="118"/>
      <c r="M22" s="118"/>
    </row>
    <row r="23" spans="1:13" s="28" customFormat="1">
      <c r="B23" s="24" t="s">
        <v>220</v>
      </c>
      <c r="G23" s="30"/>
      <c r="H23" s="30"/>
      <c r="I23" s="30"/>
      <c r="L23" s="118"/>
      <c r="M23" s="118"/>
    </row>
    <row r="24" spans="1:13" s="28" customFormat="1">
      <c r="A24" s="28">
        <v>1</v>
      </c>
      <c r="B24" s="30" t="s">
        <v>216</v>
      </c>
      <c r="G24" s="30"/>
      <c r="H24" s="30"/>
      <c r="I24" s="30"/>
      <c r="L24" s="118"/>
      <c r="M24" s="118"/>
    </row>
    <row r="25" spans="1:13" s="28" customFormat="1">
      <c r="A25" s="28">
        <v>2</v>
      </c>
      <c r="B25" s="28" t="s">
        <v>251</v>
      </c>
      <c r="G25" s="30"/>
      <c r="H25" s="30"/>
      <c r="I25" s="30"/>
      <c r="L25" s="118"/>
      <c r="M25" s="118"/>
    </row>
    <row r="26" spans="1:13" s="28" customFormat="1">
      <c r="B26" s="114">
        <v>1</v>
      </c>
      <c r="C26" s="114" t="str">
        <f>VLOOKUP(B26,A24:B25,2,FALSE)</f>
        <v>Geen zolder- of vlieringisolatie</v>
      </c>
      <c r="G26" s="30"/>
      <c r="H26" s="30"/>
      <c r="I26" s="30"/>
      <c r="L26" s="118"/>
      <c r="M26" s="118"/>
    </row>
    <row r="27" spans="1:13" s="28" customFormat="1">
      <c r="B27" s="25" t="s">
        <v>221</v>
      </c>
      <c r="G27" s="30"/>
      <c r="H27" s="30"/>
      <c r="I27" s="30"/>
      <c r="L27" s="118"/>
      <c r="M27" s="118"/>
    </row>
    <row r="28" spans="1:13" s="28" customFormat="1">
      <c r="A28" s="28">
        <v>1</v>
      </c>
      <c r="B28" s="28" t="s">
        <v>48</v>
      </c>
      <c r="G28" s="30"/>
      <c r="H28" s="30"/>
      <c r="I28" s="30"/>
      <c r="L28" s="118"/>
      <c r="M28" s="118"/>
    </row>
    <row r="29" spans="1:13" s="28" customFormat="1">
      <c r="A29" s="28">
        <v>2</v>
      </c>
      <c r="B29" s="28" t="s">
        <v>324</v>
      </c>
      <c r="G29" s="30"/>
      <c r="H29" s="30"/>
      <c r="I29" s="30"/>
      <c r="L29" s="118"/>
      <c r="M29" s="118"/>
    </row>
    <row r="30" spans="1:13" s="28" customFormat="1">
      <c r="A30" s="28">
        <v>3</v>
      </c>
      <c r="B30" s="113" t="s">
        <v>337</v>
      </c>
      <c r="G30" s="30"/>
      <c r="H30" s="30"/>
      <c r="I30" s="30"/>
      <c r="L30" s="118"/>
      <c r="M30" s="118"/>
    </row>
    <row r="31" spans="1:13" s="28" customFormat="1">
      <c r="B31" s="120">
        <v>1</v>
      </c>
      <c r="C31" s="119" t="str">
        <f>VLOOKUP(B31,A28:B30,2,FALSE)</f>
        <v>Niet van toepassing</v>
      </c>
      <c r="G31" s="30"/>
      <c r="H31" s="30"/>
      <c r="I31" s="30"/>
      <c r="L31" s="118"/>
      <c r="M31" s="118"/>
    </row>
    <row r="32" spans="1:13" s="28" customFormat="1">
      <c r="B32" s="24" t="s">
        <v>226</v>
      </c>
      <c r="C32" s="114" t="str">
        <f>Hulpblad!C26&amp;" "&amp;Hulpblad!C31&amp;""</f>
        <v>Geen zolder- of vlieringisolatie Niet van toepassing</v>
      </c>
      <c r="G32" s="30"/>
      <c r="H32" s="30"/>
      <c r="I32" s="30"/>
      <c r="L32" s="118"/>
      <c r="M32" s="118"/>
    </row>
    <row r="33" spans="1:13" s="28" customFormat="1">
      <c r="B33" s="114"/>
      <c r="C33" s="119"/>
      <c r="E33" s="114"/>
      <c r="F33" s="114"/>
      <c r="G33" s="118"/>
      <c r="H33" s="114"/>
      <c r="I33" s="30"/>
      <c r="L33" s="118"/>
      <c r="M33" s="118"/>
    </row>
    <row r="34" spans="1:13" s="28" customFormat="1">
      <c r="B34" s="24" t="s">
        <v>56</v>
      </c>
      <c r="E34" s="25"/>
      <c r="G34" s="30"/>
      <c r="H34" s="30"/>
      <c r="I34" s="30"/>
      <c r="L34" s="118"/>
      <c r="M34" s="118"/>
    </row>
    <row r="35" spans="1:13" s="28" customFormat="1">
      <c r="A35" s="28">
        <v>1</v>
      </c>
      <c r="B35" s="30" t="s">
        <v>41</v>
      </c>
      <c r="C35" s="30"/>
      <c r="G35" s="30"/>
      <c r="H35" s="30"/>
      <c r="I35" s="30"/>
      <c r="L35" s="118"/>
      <c r="M35" s="118"/>
    </row>
    <row r="36" spans="1:13" s="28" customFormat="1">
      <c r="A36" s="28">
        <v>2</v>
      </c>
      <c r="B36" s="30" t="s">
        <v>252</v>
      </c>
      <c r="C36" s="30"/>
      <c r="G36" s="30"/>
      <c r="H36" s="30"/>
      <c r="I36" s="30"/>
      <c r="L36" s="118"/>
      <c r="M36" s="118"/>
    </row>
    <row r="37" spans="1:13" s="28" customFormat="1">
      <c r="B37" s="114">
        <v>1</v>
      </c>
      <c r="C37" s="114" t="str">
        <f>VLOOKUP(B37,A35:B36,2,FALSE)</f>
        <v>Geen gevelisolatie</v>
      </c>
      <c r="G37" s="30"/>
      <c r="H37" s="30"/>
      <c r="I37" s="30"/>
      <c r="L37" s="118"/>
      <c r="M37" s="118"/>
    </row>
    <row r="38" spans="1:13" s="28" customFormat="1">
      <c r="B38" s="25" t="s">
        <v>227</v>
      </c>
      <c r="C38" s="114"/>
      <c r="G38" s="30"/>
      <c r="H38" s="30"/>
      <c r="I38" s="30"/>
      <c r="L38" s="118"/>
      <c r="M38" s="118"/>
    </row>
    <row r="39" spans="1:13" s="28" customFormat="1">
      <c r="A39" s="28">
        <v>1</v>
      </c>
      <c r="B39" s="28" t="s">
        <v>48</v>
      </c>
      <c r="C39" s="114"/>
      <c r="G39" s="30"/>
      <c r="H39" s="30"/>
      <c r="I39" s="30"/>
      <c r="L39" s="118"/>
      <c r="M39" s="118"/>
    </row>
    <row r="40" spans="1:13" s="28" customFormat="1">
      <c r="A40" s="28">
        <v>2</v>
      </c>
      <c r="B40" s="28" t="s">
        <v>324</v>
      </c>
      <c r="C40" s="114"/>
      <c r="G40" s="30"/>
      <c r="H40" s="30"/>
      <c r="I40" s="30"/>
      <c r="L40" s="118"/>
      <c r="M40" s="118"/>
    </row>
    <row r="41" spans="1:13" s="28" customFormat="1">
      <c r="A41" s="28">
        <v>3</v>
      </c>
      <c r="B41" s="113" t="s">
        <v>337</v>
      </c>
      <c r="C41" s="114"/>
      <c r="G41" s="30"/>
      <c r="H41" s="30"/>
      <c r="I41" s="30"/>
      <c r="L41" s="118"/>
      <c r="M41" s="118"/>
    </row>
    <row r="42" spans="1:13" s="28" customFormat="1">
      <c r="B42" s="120">
        <v>1</v>
      </c>
      <c r="C42" s="119" t="str">
        <f>VLOOKUP(B42,A39:B41,2,FALSE)</f>
        <v>Niet van toepassing</v>
      </c>
      <c r="G42" s="30"/>
      <c r="H42" s="30"/>
      <c r="I42" s="30"/>
      <c r="L42" s="118"/>
      <c r="M42" s="118"/>
    </row>
    <row r="43" spans="1:13" s="28" customFormat="1">
      <c r="B43" s="24" t="s">
        <v>228</v>
      </c>
      <c r="C43" s="114" t="str">
        <f>Hulpblad!C37&amp;" "&amp;Hulpblad!C42&amp;""</f>
        <v>Geen gevelisolatie Niet van toepassing</v>
      </c>
      <c r="G43" s="30"/>
      <c r="H43" s="30"/>
      <c r="I43" s="30"/>
      <c r="L43" s="118"/>
      <c r="M43" s="118"/>
    </row>
    <row r="44" spans="1:13" s="28" customFormat="1">
      <c r="B44" s="114"/>
      <c r="C44" s="114"/>
      <c r="E44" s="114"/>
      <c r="F44" s="114"/>
      <c r="G44" s="30"/>
      <c r="H44" s="30"/>
      <c r="I44" s="30"/>
      <c r="L44" s="118"/>
      <c r="M44" s="118"/>
    </row>
    <row r="45" spans="1:13" s="28" customFormat="1">
      <c r="B45" s="24" t="s">
        <v>57</v>
      </c>
      <c r="E45" s="25"/>
      <c r="G45" s="30"/>
      <c r="H45" s="30"/>
      <c r="I45" s="30"/>
      <c r="L45" s="118"/>
      <c r="M45" s="118"/>
    </row>
    <row r="46" spans="1:13" s="28" customFormat="1">
      <c r="A46" s="28">
        <v>1</v>
      </c>
      <c r="B46" s="30" t="s">
        <v>42</v>
      </c>
      <c r="C46" s="30"/>
      <c r="G46" s="30"/>
      <c r="H46" s="30"/>
      <c r="I46" s="30"/>
      <c r="L46" s="118"/>
      <c r="M46" s="118"/>
    </row>
    <row r="47" spans="1:13" s="28" customFormat="1">
      <c r="A47" s="28">
        <v>2</v>
      </c>
      <c r="B47" s="30" t="s">
        <v>253</v>
      </c>
      <c r="C47" s="30"/>
      <c r="G47" s="30"/>
      <c r="H47" s="30"/>
      <c r="I47" s="30"/>
      <c r="L47" s="118"/>
      <c r="M47" s="118"/>
    </row>
    <row r="48" spans="1:13" s="28" customFormat="1">
      <c r="B48" s="114">
        <v>1</v>
      </c>
      <c r="C48" s="114" t="str">
        <f>VLOOKUP(B48,A46:B47,2,FALSE)</f>
        <v>Geen spouwmuurisolatie</v>
      </c>
      <c r="G48" s="30"/>
      <c r="H48" s="30"/>
      <c r="I48" s="30"/>
      <c r="L48" s="118"/>
      <c r="M48" s="118"/>
    </row>
    <row r="49" spans="1:13" s="28" customFormat="1">
      <c r="B49" s="25" t="s">
        <v>229</v>
      </c>
      <c r="C49" s="114"/>
      <c r="G49" s="30"/>
      <c r="H49" s="30"/>
      <c r="I49" s="30"/>
      <c r="L49" s="118"/>
      <c r="M49" s="118"/>
    </row>
    <row r="50" spans="1:13" s="28" customFormat="1">
      <c r="A50" s="28">
        <v>1</v>
      </c>
      <c r="B50" s="28" t="s">
        <v>48</v>
      </c>
      <c r="C50" s="114"/>
      <c r="G50" s="30"/>
      <c r="H50" s="30"/>
      <c r="I50" s="30"/>
      <c r="L50" s="118"/>
      <c r="M50" s="118"/>
    </row>
    <row r="51" spans="1:13" s="28" customFormat="1">
      <c r="A51" s="28">
        <v>2</v>
      </c>
      <c r="B51" s="28" t="s">
        <v>324</v>
      </c>
      <c r="C51" s="114"/>
      <c r="G51" s="30"/>
      <c r="H51" s="30"/>
      <c r="I51" s="30"/>
      <c r="L51" s="118"/>
      <c r="M51" s="118"/>
    </row>
    <row r="52" spans="1:13" s="28" customFormat="1">
      <c r="A52" s="28">
        <v>3</v>
      </c>
      <c r="B52" s="113" t="s">
        <v>337</v>
      </c>
      <c r="C52" s="114"/>
      <c r="G52" s="30"/>
      <c r="H52" s="30"/>
      <c r="I52" s="30"/>
      <c r="L52" s="118"/>
      <c r="M52" s="118"/>
    </row>
    <row r="53" spans="1:13" s="28" customFormat="1">
      <c r="B53" s="120">
        <v>1</v>
      </c>
      <c r="C53" s="119" t="str">
        <f>VLOOKUP(B53,A50:B52,2,FALSE)</f>
        <v>Niet van toepassing</v>
      </c>
      <c r="G53" s="30"/>
      <c r="H53" s="30"/>
      <c r="I53" s="30"/>
      <c r="L53" s="118"/>
      <c r="M53" s="118"/>
    </row>
    <row r="54" spans="1:13" s="28" customFormat="1">
      <c r="B54" s="24" t="s">
        <v>230</v>
      </c>
      <c r="C54" s="114" t="str">
        <f>Hulpblad!C48&amp;" "&amp;Hulpblad!C53&amp;""</f>
        <v>Geen spouwmuurisolatie Niet van toepassing</v>
      </c>
      <c r="G54" s="30"/>
      <c r="H54" s="30"/>
      <c r="I54" s="30"/>
      <c r="L54" s="118"/>
      <c r="M54" s="118"/>
    </row>
    <row r="55" spans="1:13" s="28" customFormat="1">
      <c r="B55" s="114"/>
      <c r="C55" s="114"/>
      <c r="E55" s="114"/>
      <c r="F55" s="114"/>
      <c r="G55" s="30"/>
      <c r="H55" s="30"/>
      <c r="I55" s="30"/>
      <c r="L55" s="118"/>
      <c r="M55" s="118"/>
    </row>
    <row r="56" spans="1:13" s="28" customFormat="1">
      <c r="B56" s="24" t="s">
        <v>58</v>
      </c>
      <c r="E56" s="25"/>
      <c r="G56" s="30"/>
      <c r="H56" s="30"/>
      <c r="I56" s="30"/>
      <c r="L56" s="118"/>
      <c r="M56" s="118"/>
    </row>
    <row r="57" spans="1:13" s="28" customFormat="1">
      <c r="A57" s="28">
        <v>1</v>
      </c>
      <c r="B57" s="30" t="s">
        <v>43</v>
      </c>
      <c r="C57" s="30"/>
      <c r="G57" s="30"/>
      <c r="H57" s="30"/>
      <c r="I57" s="30"/>
      <c r="L57" s="118"/>
      <c r="M57" s="118"/>
    </row>
    <row r="58" spans="1:13" s="28" customFormat="1">
      <c r="A58" s="28">
        <v>2</v>
      </c>
      <c r="B58" s="30" t="s">
        <v>254</v>
      </c>
      <c r="C58" s="30"/>
      <c r="G58" s="30"/>
      <c r="H58" s="30"/>
      <c r="I58" s="30"/>
      <c r="L58" s="118"/>
      <c r="M58" s="118"/>
    </row>
    <row r="59" spans="1:13" s="28" customFormat="1">
      <c r="B59" s="114">
        <v>1</v>
      </c>
      <c r="C59" s="114" t="str">
        <f>VLOOKUP(B59,A57:B58,2,FALSE)</f>
        <v>Geen vloerisolatie</v>
      </c>
      <c r="G59" s="30"/>
      <c r="H59" s="30"/>
      <c r="I59" s="30"/>
      <c r="L59" s="118"/>
      <c r="M59" s="118"/>
    </row>
    <row r="60" spans="1:13" s="28" customFormat="1">
      <c r="B60" s="25" t="s">
        <v>262</v>
      </c>
      <c r="C60" s="30"/>
      <c r="G60" s="30"/>
      <c r="H60" s="30"/>
      <c r="I60" s="30"/>
      <c r="L60" s="118"/>
      <c r="M60" s="118"/>
    </row>
    <row r="61" spans="1:13" s="28" customFormat="1">
      <c r="A61" s="28">
        <v>1</v>
      </c>
      <c r="B61" s="28" t="s">
        <v>48</v>
      </c>
      <c r="C61" s="30"/>
      <c r="G61" s="30"/>
      <c r="H61" s="30"/>
      <c r="I61" s="30"/>
      <c r="L61" s="118"/>
      <c r="M61" s="118"/>
    </row>
    <row r="62" spans="1:13" s="28" customFormat="1">
      <c r="A62" s="28">
        <v>2</v>
      </c>
      <c r="B62" s="115" t="s">
        <v>324</v>
      </c>
      <c r="C62" s="30"/>
      <c r="G62" s="30"/>
      <c r="H62" s="30"/>
      <c r="I62" s="30"/>
      <c r="L62" s="118"/>
      <c r="M62" s="118"/>
    </row>
    <row r="63" spans="1:13" s="28" customFormat="1">
      <c r="A63" s="28">
        <v>3</v>
      </c>
      <c r="B63" s="113" t="s">
        <v>337</v>
      </c>
      <c r="C63" s="30"/>
      <c r="G63" s="30"/>
      <c r="H63" s="30"/>
      <c r="I63" s="30"/>
      <c r="L63" s="118"/>
      <c r="M63" s="118"/>
    </row>
    <row r="64" spans="1:13" s="28" customFormat="1">
      <c r="B64" s="120">
        <v>1</v>
      </c>
      <c r="C64" s="119" t="str">
        <f>VLOOKUP(B64,A61:B63,2,FALSE)</f>
        <v>Niet van toepassing</v>
      </c>
      <c r="G64" s="30"/>
      <c r="H64" s="30"/>
      <c r="I64" s="30"/>
      <c r="L64" s="118"/>
      <c r="M64" s="118"/>
    </row>
    <row r="65" spans="1:13" s="28" customFormat="1">
      <c r="B65" s="24" t="s">
        <v>263</v>
      </c>
      <c r="C65" s="114" t="str">
        <f>Hulpblad!C59&amp;" "&amp;Hulpblad!C64&amp;""</f>
        <v>Geen vloerisolatie Niet van toepassing</v>
      </c>
      <c r="G65" s="30"/>
      <c r="H65" s="30"/>
      <c r="I65" s="30"/>
      <c r="L65" s="118"/>
      <c r="M65" s="118"/>
    </row>
    <row r="66" spans="1:13" s="28" customFormat="1">
      <c r="B66" s="24"/>
      <c r="C66" s="30"/>
      <c r="G66" s="30"/>
      <c r="H66" s="30"/>
      <c r="I66" s="30"/>
      <c r="L66" s="118"/>
      <c r="M66" s="118"/>
    </row>
    <row r="67" spans="1:13" s="28" customFormat="1">
      <c r="B67" s="24" t="s">
        <v>231</v>
      </c>
      <c r="C67" s="30"/>
      <c r="G67" s="30"/>
      <c r="H67" s="30"/>
      <c r="I67" s="30"/>
      <c r="L67" s="118"/>
      <c r="M67" s="118"/>
    </row>
    <row r="68" spans="1:13" s="28" customFormat="1">
      <c r="A68" s="28">
        <v>1</v>
      </c>
      <c r="B68" s="113" t="s">
        <v>232</v>
      </c>
      <c r="C68" s="30"/>
      <c r="G68" s="30"/>
      <c r="H68" s="30"/>
      <c r="I68" s="30"/>
      <c r="L68" s="118"/>
      <c r="M68" s="118"/>
    </row>
    <row r="69" spans="1:13" s="28" customFormat="1">
      <c r="A69" s="28">
        <v>2</v>
      </c>
      <c r="B69" s="30" t="s">
        <v>255</v>
      </c>
      <c r="C69" s="30"/>
      <c r="G69" s="30"/>
      <c r="H69" s="30"/>
      <c r="I69" s="144"/>
      <c r="L69" s="118"/>
      <c r="M69" s="118"/>
    </row>
    <row r="70" spans="1:13" s="28" customFormat="1">
      <c r="B70" s="114">
        <v>1</v>
      </c>
      <c r="C70" s="114" t="str">
        <f>VLOOKUP(B70,A68:B69,2,FALSE)</f>
        <v>Geen bodemisolatie</v>
      </c>
      <c r="G70" s="30"/>
      <c r="H70" s="30"/>
      <c r="I70" s="144"/>
      <c r="L70" s="118"/>
      <c r="M70" s="118"/>
    </row>
    <row r="71" spans="1:13" s="28" customFormat="1">
      <c r="B71" s="25" t="s">
        <v>264</v>
      </c>
      <c r="C71" s="30"/>
      <c r="G71" s="30"/>
      <c r="H71" s="30"/>
      <c r="I71" s="144"/>
      <c r="L71" s="118"/>
      <c r="M71" s="118"/>
    </row>
    <row r="72" spans="1:13" s="28" customFormat="1">
      <c r="A72" s="28">
        <v>1</v>
      </c>
      <c r="B72" s="28" t="s">
        <v>48</v>
      </c>
      <c r="C72" s="30"/>
      <c r="G72" s="30"/>
      <c r="H72" s="30"/>
      <c r="I72" s="144"/>
      <c r="L72" s="118"/>
      <c r="M72" s="118"/>
    </row>
    <row r="73" spans="1:13" s="28" customFormat="1">
      <c r="A73" s="28">
        <v>2</v>
      </c>
      <c r="B73" s="115" t="s">
        <v>324</v>
      </c>
      <c r="C73" s="30"/>
      <c r="G73" s="30"/>
      <c r="H73" s="30"/>
      <c r="I73" s="144"/>
      <c r="L73" s="118"/>
      <c r="M73" s="118"/>
    </row>
    <row r="74" spans="1:13" s="28" customFormat="1">
      <c r="A74" s="28">
        <v>3</v>
      </c>
      <c r="B74" s="113" t="s">
        <v>337</v>
      </c>
      <c r="C74" s="30"/>
      <c r="G74" s="30"/>
      <c r="H74" s="30"/>
      <c r="I74" s="144"/>
      <c r="L74" s="118"/>
      <c r="M74" s="118"/>
    </row>
    <row r="75" spans="1:13" s="28" customFormat="1">
      <c r="B75" s="120">
        <v>1</v>
      </c>
      <c r="C75" s="119" t="str">
        <f>VLOOKUP(B75,A72:B74,2,FALSE)</f>
        <v>Niet van toepassing</v>
      </c>
      <c r="G75" s="30"/>
      <c r="H75" s="30"/>
      <c r="I75" s="144"/>
      <c r="L75" s="118"/>
      <c r="M75" s="118"/>
    </row>
    <row r="76" spans="1:13" s="28" customFormat="1">
      <c r="B76" s="24" t="s">
        <v>257</v>
      </c>
      <c r="C76" s="114" t="str">
        <f>Hulpblad!C70&amp;" "&amp;Hulpblad!C75&amp;""</f>
        <v>Geen bodemisolatie Niet van toepassing</v>
      </c>
      <c r="G76" s="30"/>
      <c r="H76" s="30"/>
      <c r="I76" s="144"/>
      <c r="L76" s="118"/>
      <c r="M76" s="118"/>
    </row>
    <row r="77" spans="1:13" s="28" customFormat="1">
      <c r="B77" s="30"/>
      <c r="C77" s="30"/>
      <c r="G77" s="30"/>
      <c r="H77" s="30"/>
      <c r="I77" s="144"/>
      <c r="L77" s="118"/>
      <c r="M77" s="118"/>
    </row>
    <row r="78" spans="1:13" s="28" customFormat="1">
      <c r="D78" s="118"/>
    </row>
    <row r="79" spans="1:13" s="28" customFormat="1">
      <c r="B79" s="24" t="s">
        <v>79</v>
      </c>
      <c r="C79" s="114"/>
      <c r="D79" s="118"/>
      <c r="E79" s="118"/>
      <c r="F79" s="118"/>
    </row>
    <row r="80" spans="1:13" s="28" customFormat="1">
      <c r="B80" s="114" t="b">
        <v>0</v>
      </c>
      <c r="C80" s="114" t="s">
        <v>80</v>
      </c>
      <c r="D80" s="118"/>
      <c r="E80" s="118"/>
      <c r="F80" s="118"/>
    </row>
    <row r="81" spans="1:6" s="28" customFormat="1">
      <c r="B81" s="114" t="b">
        <v>0</v>
      </c>
      <c r="C81" s="114" t="s">
        <v>265</v>
      </c>
      <c r="D81" s="118"/>
      <c r="E81" s="118"/>
      <c r="F81" s="118"/>
    </row>
    <row r="82" spans="1:6" s="28" customFormat="1">
      <c r="B82" s="114" t="b">
        <v>0</v>
      </c>
      <c r="C82" s="114" t="s">
        <v>81</v>
      </c>
      <c r="D82" s="118"/>
      <c r="E82" s="118"/>
      <c r="F82" s="118"/>
    </row>
    <row r="83" spans="1:6" s="28" customFormat="1">
      <c r="B83" s="114" t="b">
        <v>0</v>
      </c>
      <c r="C83" s="114" t="s">
        <v>82</v>
      </c>
      <c r="D83" s="118"/>
      <c r="E83" s="118"/>
      <c r="F83" s="118"/>
    </row>
    <row r="84" spans="1:6" s="28" customFormat="1">
      <c r="B84" s="114" t="b">
        <v>0</v>
      </c>
      <c r="C84" s="114" t="s">
        <v>83</v>
      </c>
      <c r="D84" s="118"/>
      <c r="E84" s="118"/>
      <c r="F84" s="118"/>
    </row>
    <row r="85" spans="1:6" s="28" customFormat="1">
      <c r="B85" s="114" t="b">
        <v>0</v>
      </c>
      <c r="C85" s="114" t="s">
        <v>266</v>
      </c>
      <c r="D85" s="118"/>
      <c r="E85" s="118"/>
      <c r="F85" s="118"/>
    </row>
    <row r="86" spans="1:6" s="28" customFormat="1">
      <c r="B86" s="24" t="s">
        <v>7</v>
      </c>
      <c r="C86" s="30"/>
      <c r="F86" s="118"/>
    </row>
    <row r="87" spans="1:6" s="28" customFormat="1">
      <c r="A87" s="28">
        <v>1</v>
      </c>
      <c r="B87" s="30" t="s">
        <v>44</v>
      </c>
      <c r="C87" s="30"/>
      <c r="F87" s="118"/>
    </row>
    <row r="88" spans="1:6" s="28" customFormat="1">
      <c r="A88" s="28">
        <v>2</v>
      </c>
      <c r="B88" s="30" t="s">
        <v>60</v>
      </c>
      <c r="C88" s="30"/>
      <c r="F88" s="118"/>
    </row>
    <row r="89" spans="1:6" s="28" customFormat="1">
      <c r="B89" s="114">
        <v>1</v>
      </c>
      <c r="C89" s="114" t="str">
        <f>VLOOKUP(B89,A87:B88,2,FALSE)</f>
        <v>Geen glasisolatie</v>
      </c>
      <c r="F89" s="118"/>
    </row>
    <row r="90" spans="1:6" s="28" customFormat="1">
      <c r="B90" s="24"/>
      <c r="C90" s="30"/>
      <c r="F90" s="118"/>
    </row>
    <row r="91" spans="1:6" s="28" customFormat="1">
      <c r="B91" s="24" t="s">
        <v>277</v>
      </c>
      <c r="C91" s="30"/>
      <c r="F91" s="118"/>
    </row>
    <row r="92" spans="1:6" s="28" customFormat="1">
      <c r="A92" s="28">
        <v>1</v>
      </c>
      <c r="B92" s="30" t="s">
        <v>279</v>
      </c>
      <c r="C92" s="30"/>
      <c r="F92" s="118"/>
    </row>
    <row r="93" spans="1:6" s="28" customFormat="1">
      <c r="A93" s="28">
        <v>2</v>
      </c>
      <c r="B93" s="30" t="s">
        <v>134</v>
      </c>
      <c r="C93" s="30"/>
      <c r="F93" s="118"/>
    </row>
    <row r="94" spans="1:6" s="28" customFormat="1">
      <c r="B94" s="114">
        <v>1</v>
      </c>
      <c r="C94" s="114" t="str">
        <f>VLOOKUP(B94,A92:B93,2,FALSE)</f>
        <v>Geen HR++ glas</v>
      </c>
      <c r="F94" s="118"/>
    </row>
    <row r="95" spans="1:6" s="28" customFormat="1">
      <c r="B95" s="25" t="s">
        <v>278</v>
      </c>
      <c r="C95" s="30"/>
      <c r="F95" s="118"/>
    </row>
    <row r="96" spans="1:6" s="28" customFormat="1">
      <c r="A96" s="28">
        <v>1</v>
      </c>
      <c r="B96" s="115" t="s">
        <v>324</v>
      </c>
      <c r="C96" s="114" t="b">
        <v>0</v>
      </c>
      <c r="D96" s="114" t="b">
        <f>IF(C96=TRUE,B96,C96)</f>
        <v>0</v>
      </c>
      <c r="F96" s="118"/>
    </row>
    <row r="97" spans="1:6" s="28" customFormat="1">
      <c r="A97" s="28">
        <v>2</v>
      </c>
      <c r="B97" s="115" t="s">
        <v>337</v>
      </c>
      <c r="C97" s="114" t="b">
        <v>0</v>
      </c>
      <c r="D97" s="119" t="b">
        <f>IF(C97=TRUE,B97,C97)</f>
        <v>0</v>
      </c>
      <c r="F97" s="118"/>
    </row>
    <row r="98" spans="1:6" s="28" customFormat="1">
      <c r="B98" s="113"/>
      <c r="C98" s="30"/>
      <c r="F98" s="118"/>
    </row>
    <row r="99" spans="1:6" s="28" customFormat="1">
      <c r="B99" s="24" t="s">
        <v>280</v>
      </c>
      <c r="C99" s="30"/>
      <c r="F99" s="118"/>
    </row>
    <row r="100" spans="1:6" s="28" customFormat="1">
      <c r="A100" s="28">
        <v>1</v>
      </c>
      <c r="B100" s="115" t="s">
        <v>324</v>
      </c>
      <c r="C100" s="114" t="str">
        <f>Hulpblad!C94&amp;" "&amp;Hulpblad!D96&amp;""</f>
        <v>Geen HR++ glas ONWAAR</v>
      </c>
      <c r="F100" s="118"/>
    </row>
    <row r="101" spans="1:6" s="28" customFormat="1">
      <c r="A101" s="28">
        <v>2</v>
      </c>
      <c r="B101" s="115" t="s">
        <v>337</v>
      </c>
      <c r="C101" s="114" t="str">
        <f>Hulpblad!C94&amp;" "&amp;Hulpblad!D97&amp;""</f>
        <v>Geen HR++ glas ONWAAR</v>
      </c>
      <c r="F101" s="118"/>
    </row>
    <row r="102" spans="1:6" s="28" customFormat="1">
      <c r="B102" s="24"/>
      <c r="C102" s="30"/>
      <c r="F102" s="118"/>
    </row>
    <row r="103" spans="1:6" s="28" customFormat="1">
      <c r="B103" s="24" t="s">
        <v>286</v>
      </c>
      <c r="C103" s="30"/>
      <c r="F103" s="118"/>
    </row>
    <row r="104" spans="1:6" s="28" customFormat="1">
      <c r="A104" s="28">
        <v>1</v>
      </c>
      <c r="B104" s="30" t="s">
        <v>284</v>
      </c>
      <c r="C104" s="30"/>
      <c r="F104" s="118"/>
    </row>
    <row r="105" spans="1:6" s="28" customFormat="1">
      <c r="A105" s="28">
        <v>2</v>
      </c>
      <c r="B105" s="30" t="s">
        <v>135</v>
      </c>
      <c r="C105" s="30"/>
      <c r="F105" s="118"/>
    </row>
    <row r="106" spans="1:6" s="28" customFormat="1">
      <c r="B106" s="114">
        <v>1</v>
      </c>
      <c r="C106" s="114" t="str">
        <f>VLOOKUP(B106,A104:B105,2,FALSE)</f>
        <v>Geen Triple glas</v>
      </c>
      <c r="F106" s="118"/>
    </row>
    <row r="107" spans="1:6" s="28" customFormat="1">
      <c r="B107" s="25" t="s">
        <v>287</v>
      </c>
      <c r="C107" s="30"/>
      <c r="F107" s="118"/>
    </row>
    <row r="108" spans="1:6" s="28" customFormat="1">
      <c r="A108" s="28">
        <v>1</v>
      </c>
      <c r="B108" s="115" t="s">
        <v>324</v>
      </c>
      <c r="C108" s="114" t="b">
        <v>0</v>
      </c>
      <c r="D108" s="114" t="b">
        <f>IF(C108=TRUE,B108,C108)</f>
        <v>0</v>
      </c>
      <c r="F108" s="118"/>
    </row>
    <row r="109" spans="1:6" s="28" customFormat="1">
      <c r="A109" s="28">
        <v>2</v>
      </c>
      <c r="B109" s="115" t="s">
        <v>337</v>
      </c>
      <c r="C109" s="114" t="b">
        <v>0</v>
      </c>
      <c r="D109" s="119" t="b">
        <f>IF(C109=TRUE,B109,C109)</f>
        <v>0</v>
      </c>
      <c r="F109" s="118"/>
    </row>
    <row r="110" spans="1:6" s="28" customFormat="1">
      <c r="B110" s="113"/>
      <c r="C110" s="30"/>
      <c r="F110" s="118"/>
    </row>
    <row r="111" spans="1:6" s="28" customFormat="1">
      <c r="B111" s="24" t="s">
        <v>288</v>
      </c>
      <c r="C111" s="30"/>
      <c r="F111" s="118"/>
    </row>
    <row r="112" spans="1:6" s="28" customFormat="1">
      <c r="A112" s="28">
        <v>1</v>
      </c>
      <c r="B112" s="115" t="s">
        <v>324</v>
      </c>
      <c r="C112" s="114" t="str">
        <f>Hulpblad!C106&amp;" "&amp;Hulpblad!D108&amp;""</f>
        <v>Geen Triple glas ONWAAR</v>
      </c>
      <c r="F112" s="118"/>
    </row>
    <row r="113" spans="1:6" s="28" customFormat="1">
      <c r="A113" s="28">
        <v>2</v>
      </c>
      <c r="B113" s="115" t="s">
        <v>337</v>
      </c>
      <c r="C113" s="114" t="str">
        <f>Hulpblad!C106&amp;" "&amp;Hulpblad!D109&amp;""</f>
        <v>Geen Triple glas ONWAAR</v>
      </c>
      <c r="F113" s="118"/>
    </row>
    <row r="114" spans="1:6" s="28" customFormat="1">
      <c r="B114" s="24"/>
      <c r="C114" s="30"/>
      <c r="F114" s="118"/>
    </row>
    <row r="115" spans="1:6" s="28" customFormat="1">
      <c r="B115" s="24" t="s">
        <v>296</v>
      </c>
      <c r="C115" s="30"/>
      <c r="F115" s="118"/>
    </row>
    <row r="116" spans="1:6" s="28" customFormat="1">
      <c r="A116" s="28">
        <v>1</v>
      </c>
      <c r="B116" s="30" t="s">
        <v>294</v>
      </c>
      <c r="C116" s="30"/>
      <c r="F116" s="118"/>
    </row>
    <row r="117" spans="1:6" s="28" customFormat="1">
      <c r="A117" s="28">
        <v>2</v>
      </c>
      <c r="B117" s="30" t="s">
        <v>295</v>
      </c>
      <c r="C117" s="30"/>
      <c r="F117" s="118"/>
    </row>
    <row r="118" spans="1:6" s="28" customFormat="1">
      <c r="B118" s="114">
        <v>1</v>
      </c>
      <c r="C118" s="114" t="str">
        <f>VLOOKUP(B118,A116:B117,2,FALSE)</f>
        <v>Geen Isolerende panelen, U ≤ 1,2 W/m2K</v>
      </c>
      <c r="F118" s="118"/>
    </row>
    <row r="119" spans="1:6" s="28" customFormat="1">
      <c r="B119" s="25" t="s">
        <v>297</v>
      </c>
      <c r="C119" s="30"/>
      <c r="F119" s="118"/>
    </row>
    <row r="120" spans="1:6" s="28" customFormat="1">
      <c r="A120" s="28">
        <v>1</v>
      </c>
      <c r="B120" s="115" t="s">
        <v>324</v>
      </c>
      <c r="C120" s="114" t="b">
        <v>0</v>
      </c>
      <c r="D120" s="114" t="b">
        <f>IF(C120=TRUE,B120,C120)</f>
        <v>0</v>
      </c>
      <c r="F120" s="118"/>
    </row>
    <row r="121" spans="1:6" s="28" customFormat="1">
      <c r="A121" s="28">
        <v>2</v>
      </c>
      <c r="B121" s="115" t="s">
        <v>337</v>
      </c>
      <c r="C121" s="114" t="b">
        <v>0</v>
      </c>
      <c r="D121" s="119" t="b">
        <f>IF(C121=TRUE,B121,C121)</f>
        <v>0</v>
      </c>
      <c r="F121" s="118"/>
    </row>
    <row r="122" spans="1:6" s="28" customFormat="1">
      <c r="B122" s="113"/>
      <c r="C122" s="30"/>
      <c r="F122" s="118"/>
    </row>
    <row r="123" spans="1:6" s="28" customFormat="1">
      <c r="B123" s="24" t="s">
        <v>307</v>
      </c>
      <c r="C123" s="30"/>
      <c r="F123" s="118"/>
    </row>
    <row r="124" spans="1:6" s="28" customFormat="1">
      <c r="A124" s="28">
        <v>1</v>
      </c>
      <c r="B124" s="115" t="s">
        <v>324</v>
      </c>
      <c r="C124" s="114" t="str">
        <f>Hulpblad!C118&amp;" "&amp;Hulpblad!D120&amp;""</f>
        <v>Geen Isolerende panelen, U ≤ 1,2 W/m2K ONWAAR</v>
      </c>
      <c r="F124" s="118"/>
    </row>
    <row r="125" spans="1:6" s="28" customFormat="1">
      <c r="A125" s="28">
        <v>2</v>
      </c>
      <c r="B125" s="115" t="s">
        <v>337</v>
      </c>
      <c r="C125" s="114" t="str">
        <f>Hulpblad!C118&amp;" "&amp;Hulpblad!D121&amp;""</f>
        <v>Geen Isolerende panelen, U ≤ 1,2 W/m2K ONWAAR</v>
      </c>
      <c r="F125" s="118"/>
    </row>
    <row r="126" spans="1:6" s="28" customFormat="1">
      <c r="B126" s="115"/>
      <c r="C126" s="114"/>
      <c r="F126" s="118"/>
    </row>
    <row r="127" spans="1:6" s="28" customFormat="1">
      <c r="B127" s="24" t="s">
        <v>302</v>
      </c>
      <c r="C127" s="30"/>
      <c r="F127" s="118"/>
    </row>
    <row r="128" spans="1:6" s="28" customFormat="1">
      <c r="A128" s="28">
        <v>1</v>
      </c>
      <c r="B128" s="30" t="s">
        <v>303</v>
      </c>
      <c r="C128" s="30"/>
      <c r="F128" s="118"/>
    </row>
    <row r="129" spans="1:6" s="28" customFormat="1">
      <c r="A129" s="28">
        <v>2</v>
      </c>
      <c r="B129" s="30" t="s">
        <v>304</v>
      </c>
      <c r="C129" s="30"/>
      <c r="F129" s="118"/>
    </row>
    <row r="130" spans="1:6" s="28" customFormat="1">
      <c r="B130" s="114">
        <v>1</v>
      </c>
      <c r="C130" s="114" t="str">
        <f>VLOOKUP(B130,A128:B129,2,FALSE)</f>
        <v>Geen Isolerende panelen, U ≤ 0,7 W/m2K</v>
      </c>
      <c r="F130" s="118"/>
    </row>
    <row r="131" spans="1:6" s="28" customFormat="1">
      <c r="B131" s="25" t="s">
        <v>305</v>
      </c>
      <c r="C131" s="30"/>
      <c r="F131" s="118"/>
    </row>
    <row r="132" spans="1:6" s="28" customFormat="1">
      <c r="A132" s="28">
        <v>1</v>
      </c>
      <c r="B132" s="115" t="s">
        <v>324</v>
      </c>
      <c r="C132" s="114" t="b">
        <v>0</v>
      </c>
      <c r="D132" s="114" t="b">
        <f>IF(C132=TRUE,B132,C132)</f>
        <v>0</v>
      </c>
      <c r="F132" s="118"/>
    </row>
    <row r="133" spans="1:6" s="28" customFormat="1">
      <c r="A133" s="28">
        <v>2</v>
      </c>
      <c r="B133" s="115" t="s">
        <v>337</v>
      </c>
      <c r="C133" s="114" t="b">
        <v>0</v>
      </c>
      <c r="D133" s="119" t="b">
        <f>IF(C133=TRUE,B133,C133)</f>
        <v>0</v>
      </c>
      <c r="F133" s="118"/>
    </row>
    <row r="134" spans="1:6" s="28" customFormat="1">
      <c r="B134" s="113"/>
      <c r="C134" s="30"/>
      <c r="F134" s="118"/>
    </row>
    <row r="135" spans="1:6" s="28" customFormat="1">
      <c r="B135" s="24" t="s">
        <v>306</v>
      </c>
      <c r="C135" s="30"/>
      <c r="F135" s="118"/>
    </row>
    <row r="136" spans="1:6" s="28" customFormat="1">
      <c r="A136" s="28">
        <v>1</v>
      </c>
      <c r="B136" s="115" t="s">
        <v>324</v>
      </c>
      <c r="C136" s="114" t="str">
        <f>Hulpblad!C130&amp;" "&amp;Hulpblad!D132&amp;""</f>
        <v>Geen Isolerende panelen, U ≤ 0,7 W/m2K ONWAAR</v>
      </c>
      <c r="F136" s="118"/>
    </row>
    <row r="137" spans="1:6" s="28" customFormat="1">
      <c r="A137" s="28">
        <v>2</v>
      </c>
      <c r="B137" s="115" t="s">
        <v>337</v>
      </c>
      <c r="C137" s="114" t="str">
        <f>Hulpblad!C130&amp;" "&amp;Hulpblad!D133&amp;""</f>
        <v>Geen Isolerende panelen, U ≤ 0,7 W/m2K ONWAAR</v>
      </c>
      <c r="F137" s="118"/>
    </row>
    <row r="138" spans="1:6" s="28" customFormat="1">
      <c r="B138" s="115"/>
      <c r="C138" s="114"/>
      <c r="F138" s="118"/>
    </row>
    <row r="139" spans="1:6" s="28" customFormat="1">
      <c r="B139" s="24" t="s">
        <v>308</v>
      </c>
      <c r="C139" s="30"/>
      <c r="F139" s="118"/>
    </row>
    <row r="140" spans="1:6" s="28" customFormat="1">
      <c r="A140" s="28">
        <v>1</v>
      </c>
      <c r="B140" s="30" t="s">
        <v>311</v>
      </c>
      <c r="C140" s="30"/>
      <c r="F140" s="118"/>
    </row>
    <row r="141" spans="1:6" s="28" customFormat="1">
      <c r="A141" s="28">
        <v>2</v>
      </c>
      <c r="B141" s="30" t="s">
        <v>310</v>
      </c>
      <c r="C141" s="30"/>
      <c r="F141" s="118"/>
    </row>
    <row r="142" spans="1:6" s="28" customFormat="1">
      <c r="B142" s="114">
        <v>1</v>
      </c>
      <c r="C142" s="114" t="str">
        <f>VLOOKUP(B142,A140:B141,2,FALSE)</f>
        <v>Geen Isolerende deuren, U ≤ 1,5 W/m2K</v>
      </c>
      <c r="F142" s="118"/>
    </row>
    <row r="143" spans="1:6" s="28" customFormat="1">
      <c r="B143" s="25" t="s">
        <v>317</v>
      </c>
      <c r="C143" s="30"/>
      <c r="F143" s="118"/>
    </row>
    <row r="144" spans="1:6" s="28" customFormat="1">
      <c r="A144" s="28">
        <v>1</v>
      </c>
      <c r="B144" s="115" t="s">
        <v>324</v>
      </c>
      <c r="C144" s="114" t="b">
        <v>0</v>
      </c>
      <c r="D144" s="114" t="b">
        <f>IF(C144=TRUE,B144,C144)</f>
        <v>0</v>
      </c>
      <c r="F144" s="118"/>
    </row>
    <row r="145" spans="1:6" s="28" customFormat="1">
      <c r="A145" s="28">
        <v>2</v>
      </c>
      <c r="B145" s="115" t="s">
        <v>337</v>
      </c>
      <c r="C145" s="114" t="b">
        <v>0</v>
      </c>
      <c r="D145" s="119" t="b">
        <f>IF(C145=TRUE,B145,C145)</f>
        <v>0</v>
      </c>
      <c r="F145" s="118"/>
    </row>
    <row r="146" spans="1:6" s="28" customFormat="1">
      <c r="B146" s="113"/>
      <c r="C146" s="30"/>
      <c r="F146" s="118"/>
    </row>
    <row r="147" spans="1:6" s="28" customFormat="1">
      <c r="B147" s="24" t="s">
        <v>314</v>
      </c>
      <c r="C147" s="30"/>
      <c r="F147" s="118"/>
    </row>
    <row r="148" spans="1:6" s="28" customFormat="1">
      <c r="A148" s="28">
        <v>1</v>
      </c>
      <c r="B148" s="115" t="s">
        <v>324</v>
      </c>
      <c r="C148" s="114" t="str">
        <f>Hulpblad!C142&amp;" "&amp;Hulpblad!D144&amp;""</f>
        <v>Geen Isolerende deuren, U ≤ 1,5 W/m2K ONWAAR</v>
      </c>
      <c r="F148" s="118"/>
    </row>
    <row r="149" spans="1:6" s="28" customFormat="1">
      <c r="A149" s="28">
        <v>2</v>
      </c>
      <c r="B149" s="115" t="s">
        <v>337</v>
      </c>
      <c r="C149" s="114" t="str">
        <f>Hulpblad!C142&amp;" "&amp;Hulpblad!D145&amp;""</f>
        <v>Geen Isolerende deuren, U ≤ 1,5 W/m2K ONWAAR</v>
      </c>
      <c r="F149" s="118"/>
    </row>
    <row r="150" spans="1:6" s="28" customFormat="1">
      <c r="B150" s="115"/>
      <c r="C150" s="114"/>
      <c r="F150" s="118"/>
    </row>
    <row r="151" spans="1:6" s="28" customFormat="1">
      <c r="B151" s="24" t="s">
        <v>313</v>
      </c>
      <c r="C151" s="30"/>
      <c r="F151" s="118"/>
    </row>
    <row r="152" spans="1:6" s="28" customFormat="1">
      <c r="A152" s="28">
        <v>1</v>
      </c>
      <c r="B152" s="30" t="s">
        <v>309</v>
      </c>
      <c r="C152" s="30"/>
      <c r="F152" s="118"/>
    </row>
    <row r="153" spans="1:6" s="28" customFormat="1">
      <c r="A153" s="28">
        <v>2</v>
      </c>
      <c r="B153" s="30" t="s">
        <v>312</v>
      </c>
      <c r="C153" s="30"/>
      <c r="F153" s="118"/>
    </row>
    <row r="154" spans="1:6" s="28" customFormat="1">
      <c r="B154" s="114">
        <v>1</v>
      </c>
      <c r="C154" s="114" t="str">
        <f>VLOOKUP(B154,A152:B153,2,FALSE)</f>
        <v>Geen Isolerende deuren, U ≤ 1,0 W/m2K</v>
      </c>
      <c r="F154" s="118"/>
    </row>
    <row r="155" spans="1:6" s="28" customFormat="1">
      <c r="B155" s="25" t="s">
        <v>316</v>
      </c>
      <c r="C155" s="30"/>
      <c r="F155" s="118"/>
    </row>
    <row r="156" spans="1:6" s="28" customFormat="1">
      <c r="A156" s="28">
        <v>1</v>
      </c>
      <c r="B156" s="115" t="s">
        <v>324</v>
      </c>
      <c r="C156" s="114" t="b">
        <v>0</v>
      </c>
      <c r="D156" s="114" t="b">
        <f>IF(C156=TRUE,B156,C156)</f>
        <v>0</v>
      </c>
      <c r="F156" s="118"/>
    </row>
    <row r="157" spans="1:6" s="28" customFormat="1">
      <c r="A157" s="28">
        <v>2</v>
      </c>
      <c r="B157" s="115" t="s">
        <v>337</v>
      </c>
      <c r="C157" s="114" t="b">
        <v>0</v>
      </c>
      <c r="D157" s="119" t="b">
        <f>IF(C157=TRUE,B157,C157)</f>
        <v>0</v>
      </c>
      <c r="F157" s="118"/>
    </row>
    <row r="158" spans="1:6" s="28" customFormat="1">
      <c r="B158" s="113"/>
      <c r="C158" s="30"/>
      <c r="F158" s="118"/>
    </row>
    <row r="159" spans="1:6" s="28" customFormat="1">
      <c r="B159" s="24" t="s">
        <v>315</v>
      </c>
      <c r="C159" s="30"/>
      <c r="F159" s="118"/>
    </row>
    <row r="160" spans="1:6" s="28" customFormat="1">
      <c r="A160" s="28">
        <v>1</v>
      </c>
      <c r="B160" s="115" t="s">
        <v>324</v>
      </c>
      <c r="C160" s="114" t="str">
        <f>Hulpblad!C154&amp;" "&amp;Hulpblad!D156&amp;""</f>
        <v>Geen Isolerende deuren, U ≤ 1,0 W/m2K ONWAAR</v>
      </c>
      <c r="F160" s="118"/>
    </row>
    <row r="161" spans="1:13" s="28" customFormat="1">
      <c r="A161" s="28">
        <v>2</v>
      </c>
      <c r="B161" s="115" t="s">
        <v>337</v>
      </c>
      <c r="C161" s="114" t="str">
        <f>Hulpblad!C154&amp;" "&amp;Hulpblad!D157&amp;""</f>
        <v>Geen Isolerende deuren, U ≤ 1,0 W/m2K ONWAAR</v>
      </c>
      <c r="F161" s="118"/>
    </row>
    <row r="162" spans="1:13" s="28" customFormat="1">
      <c r="B162" s="115"/>
      <c r="C162" s="114"/>
      <c r="F162" s="118"/>
    </row>
    <row r="163" spans="1:13" s="28" customFormat="1">
      <c r="B163" s="115"/>
      <c r="C163" s="114"/>
      <c r="F163" s="118"/>
    </row>
    <row r="164" spans="1:13" s="28" customFormat="1" ht="15" customHeight="1">
      <c r="B164" s="24" t="s">
        <v>293</v>
      </c>
      <c r="C164" s="24"/>
      <c r="E164" s="30"/>
      <c r="F164" s="25"/>
      <c r="G164" s="24"/>
      <c r="I164" s="24"/>
      <c r="J164" s="24"/>
      <c r="K164" s="114"/>
      <c r="L164" s="114"/>
      <c r="M164" s="126"/>
    </row>
    <row r="165" spans="1:13" s="28" customFormat="1">
      <c r="A165" s="28">
        <v>1</v>
      </c>
      <c r="B165" s="28" t="str">
        <f>IF(C89="Geen glasisolatie","Niet van toepassing","Kiest u voor HR++ glas, U ≤ 1,2 W/m2K?")</f>
        <v>Niet van toepassing</v>
      </c>
      <c r="C165" s="114"/>
      <c r="D165" s="114"/>
      <c r="E165" s="30"/>
      <c r="G165" s="114"/>
      <c r="H165" s="114"/>
      <c r="I165" s="30"/>
      <c r="K165" s="118"/>
      <c r="L165" s="114"/>
      <c r="M165" s="114"/>
    </row>
    <row r="166" spans="1:13" s="28" customFormat="1">
      <c r="A166" s="28">
        <v>2</v>
      </c>
      <c r="B166" s="28" t="str">
        <f>IF(C89="Geen glasisolatie","Niet van toepassing","Kiest u voor Triple glas, U ≤ 0,7 W/m2K?")</f>
        <v>Niet van toepassing</v>
      </c>
      <c r="C166" s="30"/>
      <c r="D166" s="114"/>
      <c r="E166" s="30"/>
      <c r="G166" s="118"/>
      <c r="H166" s="114"/>
      <c r="K166" s="118"/>
      <c r="L166" s="114"/>
      <c r="M166" s="114"/>
    </row>
    <row r="167" spans="1:13" s="28" customFormat="1">
      <c r="A167" s="28">
        <v>3</v>
      </c>
      <c r="B167" s="28" t="str">
        <f>IF(OR(
AND($B$89=2,$B$94=2,$C$96=TRUE,'Keuzeblad maatregelen'!$K$87&gt;0),
AND($B$89=2,$B$94=2,$C$97=TRUE,'Keuzeblad maatregelen'!$K$89&gt;0),
AND($B$89=2,$B$106=2,$C$108=TRUE,'Keuzeblad maatregelen'!$K$92&gt;0),
AND($B$89=2,$B$106=2,$C$109=TRUE,'Keuzeblad maatregelen'!$K$94&gt;0)
),"Kiest u ook voor Isolerende panelen in kozijnen, U ≤ 1,2 W/m2K?","Niet van toepassing")</f>
        <v>Niet van toepassing</v>
      </c>
      <c r="C167" s="30"/>
      <c r="D167" s="114"/>
      <c r="E167" s="30"/>
      <c r="F167" s="115"/>
      <c r="G167" s="118"/>
      <c r="H167" s="114"/>
      <c r="K167" s="118"/>
      <c r="L167" s="114"/>
      <c r="M167" s="114"/>
    </row>
    <row r="168" spans="1:13" s="28" customFormat="1">
      <c r="A168" s="28">
        <v>4</v>
      </c>
      <c r="B168" s="28" t="str">
        <f>IF(OR(
AND($B$89=2,$B$94=2,$C$96=TRUE,'Keuzeblad maatregelen'!$K$87&gt;0),
AND($B$89=2,$B$94=2,$C$97=TRUE,'Keuzeblad maatregelen'!$K$89&gt;0),
AND($B$89=2,$B$106=2,$C$108=TRUE,'Keuzeblad maatregelen'!$K$92&gt;0),
AND($B$89=2,$B$106=2,$C$109=TRUE,'Keuzeblad maatregelen'!$K$94&gt;0)
),"Kiest u ook voor Isolerende panelen in kozijnen, U ≤ 0,7 W/m2K?","Niet van toepassing")</f>
        <v>Niet van toepassing</v>
      </c>
      <c r="C168" s="30"/>
      <c r="D168" s="114"/>
      <c r="E168" s="30"/>
      <c r="G168" s="118"/>
      <c r="H168" s="114"/>
      <c r="K168" s="118"/>
      <c r="L168" s="114"/>
      <c r="M168" s="114"/>
    </row>
    <row r="169" spans="1:13" s="28" customFormat="1">
      <c r="A169" s="28">
        <v>5</v>
      </c>
      <c r="B169" s="28" t="str">
        <f>IF(OR(
AND($B$89=2,$B$94=2,$C$96=TRUE,'Keuzeblad maatregelen'!$K$87&gt;0),
AND($B$89=2,$B$94=2,$C$97=TRUE,'Keuzeblad maatregelen'!$K$89&gt;0),
AND($B$89=2,$B$106=2,$C$108=TRUE,'Keuzeblad maatregelen'!$K$92&gt;0),
AND($B$89=2,$B$106=2,$C$109=TRUE,'Keuzeblad maatregelen'!$K$94&gt;0)
),"Kiest u ook voor Isolerende deuren, U ≤ 1,5 W/m2K?","Niet van toepassing")</f>
        <v>Niet van toepassing</v>
      </c>
      <c r="C169" s="114"/>
      <c r="D169" s="114"/>
      <c r="E169" s="30"/>
      <c r="G169" s="118"/>
      <c r="H169" s="114"/>
      <c r="I169" s="30"/>
      <c r="K169" s="118"/>
      <c r="L169" s="114"/>
      <c r="M169" s="114"/>
    </row>
    <row r="170" spans="1:13" s="28" customFormat="1">
      <c r="A170" s="28">
        <v>6</v>
      </c>
      <c r="B170" s="28" t="str">
        <f>IF(OR(
AND($B$89=2,$B$94=2,$C$96=TRUE,'Keuzeblad maatregelen'!$K$87&gt;0),
AND($B$89=2,$B$94=2,$C$97=TRUE,'Keuzeblad maatregelen'!$K$89&gt;0),
AND($B$89=2,$B$106=2,$C$108=TRUE,'Keuzeblad maatregelen'!$K$92&gt;0),
AND($B$89=2,$B$106=2,$C$109=TRUE,'Keuzeblad maatregelen'!$K$94&gt;0)
),"Kiest u ook voor Isolerende deuren, U ≤ 1,0 W/m2K?","Niet van toepassing")</f>
        <v>Niet van toepassing</v>
      </c>
      <c r="C170" s="30"/>
      <c r="D170" s="114"/>
      <c r="E170" s="30"/>
      <c r="G170" s="118"/>
      <c r="H170" s="114"/>
      <c r="K170" s="118"/>
      <c r="L170" s="114"/>
      <c r="M170" s="114"/>
    </row>
    <row r="171" spans="1:13" s="28" customFormat="1">
      <c r="C171" s="30"/>
      <c r="D171" s="114"/>
      <c r="E171" s="30"/>
      <c r="F171" s="115"/>
      <c r="G171" s="118"/>
      <c r="H171" s="114"/>
      <c r="K171" s="118"/>
      <c r="L171" s="114"/>
      <c r="M171" s="114"/>
    </row>
    <row r="172" spans="1:13" s="28" customFormat="1">
      <c r="C172" s="30"/>
      <c r="D172" s="30"/>
      <c r="E172" s="30"/>
      <c r="F172" s="118"/>
    </row>
    <row r="173" spans="1:13" s="28" customFormat="1">
      <c r="B173" s="25" t="s">
        <v>61</v>
      </c>
      <c r="C173" s="30"/>
      <c r="D173" s="26" t="s">
        <v>323</v>
      </c>
      <c r="E173" s="26" t="s">
        <v>322</v>
      </c>
      <c r="F173" s="26" t="s">
        <v>367</v>
      </c>
    </row>
    <row r="174" spans="1:13" s="28" customFormat="1">
      <c r="B174" s="114">
        <f>IF(B9=3,1,0)</f>
        <v>0</v>
      </c>
      <c r="C174" s="30" t="s">
        <v>151</v>
      </c>
      <c r="D174" s="30">
        <f>IF(AND(B94=2,C96=TRUE,'Keuzeblad maatregelen'!K87&gt;0),'Keuzeblad maatregelen'!K87,0)</f>
        <v>0</v>
      </c>
      <c r="E174" s="30">
        <f>D174</f>
        <v>0</v>
      </c>
      <c r="F174" s="30"/>
    </row>
    <row r="175" spans="1:13" s="28" customFormat="1">
      <c r="B175" s="114">
        <f>IF(OR(AND(B15&gt;1,B20&gt;1),AND(B26&gt;1,B31&gt;1)),IF('Keuzeblad maatregelen'!K30+'Keuzeblad maatregelen'!K36&gt;=20,1,0),0)</f>
        <v>0</v>
      </c>
      <c r="C175" s="30" t="s">
        <v>267</v>
      </c>
      <c r="D175" s="28">
        <f>IF(AND(B94=2,C97=TRUE,'Keuzeblad maatregelen'!K89&gt;0),'Keuzeblad maatregelen'!K89,0)</f>
        <v>0</v>
      </c>
      <c r="E175" s="30"/>
      <c r="F175" s="30">
        <f t="shared" ref="F175:F185" si="0">D175</f>
        <v>0</v>
      </c>
    </row>
    <row r="176" spans="1:13" s="28" customFormat="1">
      <c r="B176" s="114">
        <f>IF(AND(B37&gt;1,B42&gt;1,'Keuzeblad maatregelen'!K42&gt;=10),1,0)</f>
        <v>0</v>
      </c>
      <c r="C176" s="30" t="s">
        <v>5</v>
      </c>
      <c r="D176" s="30">
        <f>IF(AND(B106=2,C108=TRUE,'Keuzeblad maatregelen'!K92&gt;0),'Keuzeblad maatregelen'!K92,0)</f>
        <v>0</v>
      </c>
      <c r="E176" s="30">
        <f t="shared" ref="E176:E184" si="1">D176</f>
        <v>0</v>
      </c>
      <c r="F176" s="30"/>
    </row>
    <row r="177" spans="1:6" s="28" customFormat="1">
      <c r="B177" s="114">
        <f>IF(AND(B48&gt;1,B53&gt;1,'Keuzeblad maatregelen'!K48&gt;=10),1,0)</f>
        <v>0</v>
      </c>
      <c r="C177" s="30" t="s">
        <v>6</v>
      </c>
      <c r="D177" s="30">
        <f>IF(AND(B106=2,C109=TRUE,'Keuzeblad maatregelen'!K94&gt;0),'Keuzeblad maatregelen'!K94,0)</f>
        <v>0</v>
      </c>
      <c r="E177" s="30"/>
      <c r="F177" s="30">
        <f t="shared" si="0"/>
        <v>0</v>
      </c>
    </row>
    <row r="178" spans="1:6" s="28" customFormat="1">
      <c r="B178" s="114">
        <f>IF(OR(AND(B59&gt;1,B64&gt;1),AND(B70&gt;1,B75&gt;1)),IF('Keuzeblad maatregelen'!K54+'Keuzeblad maatregelen'!K60&gt;=20,1,0),0)</f>
        <v>0</v>
      </c>
      <c r="C178" s="30" t="s">
        <v>268</v>
      </c>
      <c r="D178" s="30">
        <f>IF(AND(B118=2,C120=TRUE,'Keuzeblad maatregelen'!K97&gt;0),'Keuzeblad maatregelen'!K97,0)</f>
        <v>0</v>
      </c>
      <c r="E178" s="30">
        <f t="shared" si="1"/>
        <v>0</v>
      </c>
      <c r="F178" s="30"/>
    </row>
    <row r="179" spans="1:6" s="28" customFormat="1">
      <c r="B179" s="114">
        <f>IF(D186&gt;=8,1,
IF(D186&lt;3,0,
IF(AND(D186&gt;=3,F186&gt;=1),1,0)))</f>
        <v>0</v>
      </c>
      <c r="C179" s="30" t="s">
        <v>7</v>
      </c>
      <c r="D179" s="30">
        <f>IF(AND(B118=2,C121=TRUE,'Keuzeblad maatregelen'!K99&gt;0),'Keuzeblad maatregelen'!K99,0)</f>
        <v>0</v>
      </c>
      <c r="E179" s="30"/>
      <c r="F179" s="30">
        <f t="shared" si="0"/>
        <v>0</v>
      </c>
    </row>
    <row r="180" spans="1:6" s="28" customFormat="1">
      <c r="B180" s="114">
        <f>IF(OR('Keuzeblad maatregelen'!O144&gt;0,'Keuzeblad maatregelen'!O174&gt;0),1,0)</f>
        <v>0</v>
      </c>
      <c r="C180" s="30" t="s">
        <v>137</v>
      </c>
      <c r="D180" s="30">
        <f>IF(AND(B130=2,C132=TRUE,'Keuzeblad maatregelen'!K102&gt;0),'Keuzeblad maatregelen'!K102,0)</f>
        <v>0</v>
      </c>
      <c r="E180" s="30">
        <f t="shared" si="1"/>
        <v>0</v>
      </c>
      <c r="F180" s="30"/>
    </row>
    <row r="181" spans="1:6" s="28" customFormat="1">
      <c r="B181" s="114">
        <f>IF('Keuzeblad maatregelen'!O205&gt;0,1,0)</f>
        <v>0</v>
      </c>
      <c r="C181" s="30" t="s">
        <v>9</v>
      </c>
      <c r="D181" s="30">
        <f>IF(AND(B130=2,C133=TRUE,'Keuzeblad maatregelen'!K104&gt;0),'Keuzeblad maatregelen'!K104,0)</f>
        <v>0</v>
      </c>
      <c r="E181" s="30"/>
      <c r="F181" s="30">
        <f t="shared" si="0"/>
        <v>0</v>
      </c>
    </row>
    <row r="182" spans="1:6" s="28" customFormat="1">
      <c r="B182" s="114">
        <f>IF('Keuzeblad maatregelen'!O218&gt;0,1,0)</f>
        <v>0</v>
      </c>
      <c r="C182" s="30" t="s">
        <v>22</v>
      </c>
      <c r="D182" s="30">
        <f>IF(AND(B142=2,C144=TRUE,'Keuzeblad maatregelen'!K107&gt;0),'Keuzeblad maatregelen'!K107,0)</f>
        <v>0</v>
      </c>
      <c r="E182" s="30">
        <f t="shared" si="1"/>
        <v>0</v>
      </c>
      <c r="F182" s="30"/>
    </row>
    <row r="183" spans="1:6" s="28" customFormat="1">
      <c r="B183" s="25" t="s">
        <v>152</v>
      </c>
      <c r="C183" s="119">
        <f>SUM(B174:B182)</f>
        <v>0</v>
      </c>
      <c r="D183" s="30">
        <f>IF(AND(B142=2,C145=TRUE,'Keuzeblad maatregelen'!K109&gt;0),'Keuzeblad maatregelen'!K109,0)</f>
        <v>0</v>
      </c>
      <c r="E183" s="30"/>
      <c r="F183" s="30">
        <f t="shared" si="0"/>
        <v>0</v>
      </c>
    </row>
    <row r="184" spans="1:6" s="28" customFormat="1">
      <c r="B184" s="25"/>
      <c r="C184" s="119"/>
      <c r="D184" s="30">
        <f>IF(AND(B154=2,C156=TRUE,'Keuzeblad maatregelen'!K112&gt;0),'Keuzeblad maatregelen'!K112,0)</f>
        <v>0</v>
      </c>
      <c r="E184" s="30">
        <f t="shared" si="1"/>
        <v>0</v>
      </c>
      <c r="F184" s="30"/>
    </row>
    <row r="185" spans="1:6" s="28" customFormat="1">
      <c r="B185" s="25"/>
      <c r="C185" s="119"/>
      <c r="D185" s="30">
        <f>IF(AND(B154=2,C157=TRUE,'Keuzeblad maatregelen'!K114&gt;0),'Keuzeblad maatregelen'!K114,0)</f>
        <v>0</v>
      </c>
      <c r="E185" s="30"/>
      <c r="F185" s="30">
        <f t="shared" si="0"/>
        <v>0</v>
      </c>
    </row>
    <row r="186" spans="1:6" s="28" customFormat="1" ht="18.75">
      <c r="B186" s="25"/>
      <c r="D186" s="121">
        <f>SUM(D174:D185)</f>
        <v>0</v>
      </c>
      <c r="E186" s="122">
        <f>SUM(E174:E185)</f>
        <v>0</v>
      </c>
      <c r="F186" s="122">
        <f>SUM(F174:F185)</f>
        <v>0</v>
      </c>
    </row>
    <row r="187" spans="1:6" s="28" customFormat="1" ht="18.75">
      <c r="B187" s="122" t="s">
        <v>389</v>
      </c>
      <c r="D187" s="121"/>
      <c r="E187" s="122"/>
      <c r="F187" s="122"/>
    </row>
    <row r="188" spans="1:6" s="28" customFormat="1" ht="15" customHeight="1">
      <c r="A188" s="28">
        <v>1</v>
      </c>
      <c r="B188" s="28" t="s">
        <v>390</v>
      </c>
      <c r="D188" s="121"/>
      <c r="E188" s="122"/>
      <c r="F188" s="122"/>
    </row>
    <row r="189" spans="1:6" s="28" customFormat="1" ht="15" customHeight="1">
      <c r="A189" s="28">
        <v>2</v>
      </c>
      <c r="B189" s="28" t="s">
        <v>388</v>
      </c>
      <c r="D189" s="121"/>
      <c r="E189" s="122"/>
      <c r="F189" s="122"/>
    </row>
    <row r="190" spans="1:6" s="28" customFormat="1" ht="15" customHeight="1">
      <c r="B190" s="114">
        <v>1</v>
      </c>
      <c r="C190" s="114" t="str">
        <f>VLOOKUP(B190,A188:B189,2,FALSE)</f>
        <v>Geen energiezuinige ventilatie</v>
      </c>
      <c r="D190" s="121"/>
      <c r="E190" s="122"/>
      <c r="F190" s="122"/>
    </row>
    <row r="191" spans="1:6" s="28" customFormat="1" ht="15" customHeight="1">
      <c r="B191" s="25" t="s">
        <v>391</v>
      </c>
      <c r="D191" s="121"/>
      <c r="E191" s="122"/>
      <c r="F191" s="122"/>
    </row>
    <row r="192" spans="1:6" s="28" customFormat="1" ht="15" customHeight="1">
      <c r="A192" s="28">
        <v>1</v>
      </c>
      <c r="B192" s="28" t="s">
        <v>48</v>
      </c>
      <c r="D192" s="121"/>
      <c r="E192" s="122"/>
      <c r="F192" s="122"/>
    </row>
    <row r="193" spans="1:6" s="28" customFormat="1" ht="15" customHeight="1">
      <c r="A193" s="28">
        <v>2</v>
      </c>
      <c r="B193" s="115">
        <v>2026</v>
      </c>
      <c r="D193" s="121"/>
      <c r="E193" s="122"/>
      <c r="F193" s="122"/>
    </row>
    <row r="194" spans="1:6" s="28" customFormat="1" ht="15" customHeight="1">
      <c r="B194" s="120">
        <v>1</v>
      </c>
      <c r="C194" s="119" t="str">
        <f>VLOOKUP(B194,A192:B193,2,FALSE)</f>
        <v>Niet van toepassing</v>
      </c>
      <c r="D194" s="121"/>
      <c r="E194" s="122"/>
      <c r="F194" s="122"/>
    </row>
    <row r="195" spans="1:6" s="28" customFormat="1" ht="15" customHeight="1">
      <c r="B195" s="146" t="s">
        <v>392</v>
      </c>
      <c r="C195" s="114" t="str">
        <f>Hulpblad!C190&amp;" "&amp;Hulpblad!C194&amp;""</f>
        <v>Geen energiezuinige ventilatie Niet van toepassing</v>
      </c>
      <c r="D195" s="121"/>
      <c r="E195" s="122"/>
      <c r="F195" s="122"/>
    </row>
    <row r="196" spans="1:6" s="28" customFormat="1" ht="15" customHeight="1">
      <c r="B196" s="146"/>
      <c r="C196" s="114"/>
      <c r="D196" s="121"/>
      <c r="E196" s="122"/>
      <c r="F196" s="122"/>
    </row>
    <row r="197" spans="1:6" s="28" customFormat="1" ht="15" customHeight="1">
      <c r="B197" s="146" t="s">
        <v>403</v>
      </c>
      <c r="C197" s="114"/>
      <c r="D197" s="121"/>
      <c r="E197" s="122"/>
      <c r="F197" s="122"/>
    </row>
    <row r="198" spans="1:6" s="28" customFormat="1" ht="15" customHeight="1">
      <c r="A198" s="28">
        <v>1</v>
      </c>
      <c r="B198" s="113" t="s">
        <v>401</v>
      </c>
      <c r="C198" s="119"/>
      <c r="D198" s="121"/>
      <c r="E198" s="122"/>
      <c r="F198" s="122"/>
    </row>
    <row r="199" spans="1:6" s="28" customFormat="1" ht="15" customHeight="1">
      <c r="A199" s="28">
        <v>2</v>
      </c>
      <c r="B199" s="113" t="s">
        <v>402</v>
      </c>
      <c r="C199" s="119"/>
      <c r="D199" s="121"/>
      <c r="E199" s="122"/>
      <c r="F199" s="122"/>
    </row>
    <row r="200" spans="1:6" s="28" customFormat="1" ht="15" customHeight="1">
      <c r="B200" s="120">
        <v>1</v>
      </c>
      <c r="C200" s="119" t="str">
        <f>VLOOKUP(B200,A198:B199,2,FALSE)</f>
        <v>Niet van toepassing of &gt; 24 maanden geleden</v>
      </c>
      <c r="D200" s="121"/>
      <c r="E200" s="122"/>
      <c r="F200" s="122"/>
    </row>
    <row r="201" spans="1:6" s="28" customFormat="1" ht="15" customHeight="1">
      <c r="B201" s="120"/>
      <c r="C201" s="119"/>
      <c r="D201" s="121"/>
      <c r="E201" s="122"/>
      <c r="F201" s="122"/>
    </row>
    <row r="202" spans="1:6" s="28" customFormat="1" ht="15" customHeight="1">
      <c r="B202" s="120"/>
      <c r="C202" s="119"/>
      <c r="D202" s="121"/>
      <c r="E202" s="122"/>
      <c r="F202" s="122"/>
    </row>
    <row r="203" spans="1:6" s="28" customFormat="1" ht="15" customHeight="1">
      <c r="B203" s="161" t="s">
        <v>561</v>
      </c>
      <c r="C203" s="119"/>
      <c r="D203" s="121"/>
      <c r="E203" s="122"/>
      <c r="F203" s="122"/>
    </row>
    <row r="204" spans="1:6" s="28" customFormat="1" ht="15" customHeight="1">
      <c r="A204" s="28">
        <v>1</v>
      </c>
      <c r="B204" s="113" t="s">
        <v>66</v>
      </c>
      <c r="C204" s="119"/>
      <c r="D204" s="121"/>
      <c r="E204" s="122"/>
      <c r="F204" s="122"/>
    </row>
    <row r="205" spans="1:6" s="28" customFormat="1" ht="15" customHeight="1">
      <c r="A205" s="28">
        <v>2</v>
      </c>
      <c r="B205" s="28" t="s">
        <v>562</v>
      </c>
      <c r="C205" s="119"/>
      <c r="D205" s="121"/>
      <c r="E205" s="122"/>
      <c r="F205" s="122"/>
    </row>
    <row r="206" spans="1:6" s="28" customFormat="1" ht="15" customHeight="1">
      <c r="A206" s="28">
        <v>3</v>
      </c>
      <c r="B206" s="28" t="s">
        <v>563</v>
      </c>
      <c r="C206" s="119"/>
      <c r="D206" s="121"/>
      <c r="E206" s="122"/>
      <c r="F206" s="122"/>
    </row>
    <row r="207" spans="1:6" s="28" customFormat="1" ht="15" customHeight="1">
      <c r="A207" s="28">
        <v>4</v>
      </c>
      <c r="B207" s="28" t="s">
        <v>564</v>
      </c>
      <c r="D207" s="121"/>
      <c r="E207" s="122"/>
      <c r="F207" s="122"/>
    </row>
    <row r="208" spans="1:6" s="28" customFormat="1" ht="15" customHeight="1">
      <c r="A208" s="28">
        <v>5</v>
      </c>
      <c r="B208" s="28" t="s">
        <v>563</v>
      </c>
      <c r="D208" s="121"/>
      <c r="E208" s="122"/>
      <c r="F208" s="122"/>
    </row>
    <row r="209" spans="1:6" s="28" customFormat="1" ht="15" customHeight="1">
      <c r="B209" s="114">
        <v>1</v>
      </c>
      <c r="C209" s="114" t="str">
        <f>VLOOKUP(B209,A204:B208,2,FALSE)</f>
        <v>Nee</v>
      </c>
      <c r="D209" s="121"/>
      <c r="E209" s="122"/>
      <c r="F209" s="122"/>
    </row>
    <row r="210" spans="1:6" s="28" customFormat="1">
      <c r="B210" s="25"/>
    </row>
    <row r="211" spans="1:6" s="28" customFormat="1" ht="18.75">
      <c r="B211" s="121" t="s">
        <v>407</v>
      </c>
      <c r="C211" s="27" t="s">
        <v>275</v>
      </c>
      <c r="D211" s="27" t="s">
        <v>273</v>
      </c>
      <c r="E211" s="27" t="s">
        <v>274</v>
      </c>
    </row>
    <row r="212" spans="1:6" s="28" customFormat="1" ht="15" customHeight="1">
      <c r="A212" s="28">
        <v>1</v>
      </c>
      <c r="B212" s="30" t="s">
        <v>30</v>
      </c>
      <c r="C212" s="28">
        <v>0</v>
      </c>
    </row>
    <row r="213" spans="1:6" s="28" customFormat="1">
      <c r="A213" s="28">
        <v>2</v>
      </c>
      <c r="B213" s="28" t="s">
        <v>12</v>
      </c>
      <c r="C213" s="28">
        <v>0</v>
      </c>
    </row>
    <row r="214" spans="1:6" s="28" customFormat="1">
      <c r="A214" s="28">
        <v>3</v>
      </c>
      <c r="B214" s="28" t="s">
        <v>521</v>
      </c>
      <c r="C214" s="28">
        <v>1</v>
      </c>
      <c r="D214" s="28">
        <v>1</v>
      </c>
      <c r="E214" s="28">
        <v>70</v>
      </c>
    </row>
    <row r="215" spans="1:6" s="28" customFormat="1">
      <c r="A215" s="28">
        <v>4</v>
      </c>
      <c r="B215" s="28" t="s">
        <v>522</v>
      </c>
      <c r="C215" s="28">
        <v>1</v>
      </c>
      <c r="D215" s="28">
        <v>71</v>
      </c>
      <c r="E215" s="28">
        <v>400</v>
      </c>
    </row>
    <row r="216" spans="1:6" s="28" customFormat="1">
      <c r="A216" s="28">
        <v>5</v>
      </c>
      <c r="B216" s="28" t="s">
        <v>13</v>
      </c>
      <c r="C216" s="28">
        <v>0</v>
      </c>
    </row>
    <row r="217" spans="1:6" s="28" customFormat="1">
      <c r="A217" s="28">
        <v>6</v>
      </c>
      <c r="B217" s="28" t="s">
        <v>14</v>
      </c>
      <c r="C217" s="28">
        <v>0</v>
      </c>
    </row>
    <row r="218" spans="1:6" s="28" customFormat="1">
      <c r="A218" s="28">
        <v>7</v>
      </c>
      <c r="B218" s="28" t="s">
        <v>523</v>
      </c>
      <c r="C218" s="28">
        <v>1</v>
      </c>
      <c r="D218" s="28">
        <v>10</v>
      </c>
      <c r="E218" s="28">
        <v>70</v>
      </c>
    </row>
    <row r="219" spans="1:6" s="28" customFormat="1">
      <c r="A219" s="28">
        <v>8</v>
      </c>
      <c r="B219" s="28" t="s">
        <v>524</v>
      </c>
      <c r="C219" s="28">
        <v>1</v>
      </c>
      <c r="D219" s="28">
        <v>71</v>
      </c>
      <c r="E219" s="28">
        <v>400</v>
      </c>
    </row>
    <row r="220" spans="1:6" s="28" customFormat="1">
      <c r="A220" s="28">
        <v>9</v>
      </c>
      <c r="B220" s="28" t="s">
        <v>15</v>
      </c>
      <c r="C220" s="28">
        <v>0</v>
      </c>
    </row>
    <row r="221" spans="1:6" s="28" customFormat="1">
      <c r="A221" s="28">
        <v>10</v>
      </c>
      <c r="B221" s="28" t="s">
        <v>16</v>
      </c>
      <c r="C221" s="28">
        <v>0</v>
      </c>
    </row>
    <row r="222" spans="1:6" s="28" customFormat="1">
      <c r="A222" s="28">
        <v>11</v>
      </c>
      <c r="B222" s="28" t="s">
        <v>525</v>
      </c>
      <c r="C222" s="28">
        <v>1</v>
      </c>
      <c r="D222" s="28">
        <v>10</v>
      </c>
      <c r="E222" s="28">
        <v>70</v>
      </c>
    </row>
    <row r="223" spans="1:6" s="28" customFormat="1">
      <c r="A223" s="28">
        <v>12</v>
      </c>
      <c r="B223" s="28" t="s">
        <v>526</v>
      </c>
      <c r="C223" s="28">
        <v>1</v>
      </c>
      <c r="D223" s="28">
        <v>71</v>
      </c>
      <c r="E223" s="28">
        <v>400</v>
      </c>
    </row>
    <row r="224" spans="1:6" s="28" customFormat="1">
      <c r="B224" s="114">
        <v>1</v>
      </c>
      <c r="C224" s="114" t="str">
        <f>VLOOKUP(B224,A212:B223,2,FALSE)</f>
        <v>Geen warmtepomp</v>
      </c>
    </row>
    <row r="225" spans="1:5" s="28" customFormat="1">
      <c r="B225" s="114"/>
    </row>
    <row r="226" spans="1:5" s="28" customFormat="1">
      <c r="B226" s="24" t="s">
        <v>50</v>
      </c>
      <c r="C226" s="25"/>
      <c r="D226" s="25"/>
      <c r="E226" s="25"/>
    </row>
    <row r="227" spans="1:5" s="28" customFormat="1">
      <c r="A227" s="28">
        <v>1</v>
      </c>
      <c r="B227" s="30" t="s">
        <v>48</v>
      </c>
      <c r="C227" s="25"/>
    </row>
    <row r="228" spans="1:5" s="28" customFormat="1">
      <c r="A228" s="28">
        <v>2</v>
      </c>
      <c r="B228" s="28" t="s">
        <v>99</v>
      </c>
    </row>
    <row r="229" spans="1:5" s="28" customFormat="1">
      <c r="A229" s="28">
        <v>3</v>
      </c>
      <c r="B229" s="28" t="s">
        <v>100</v>
      </c>
    </row>
    <row r="230" spans="1:5" s="28" customFormat="1">
      <c r="A230" s="28">
        <v>4</v>
      </c>
      <c r="B230" s="28" t="s">
        <v>101</v>
      </c>
    </row>
    <row r="231" spans="1:5" s="28" customFormat="1">
      <c r="A231" s="28">
        <v>5</v>
      </c>
      <c r="B231" s="28" t="str">
        <f>IF(OR($C$224="Geen warmtepomp",$C$224="Lucht-water ≥ 70 kW en ≤ 400 kW",$C$224="Grond-water ≥ 70 kW en ≤ 400 kW",$C$224="Water-water ≥ 70 kW en ≤ 400 kW" ),"Niet van toepassing","Energieklasse A t/m G")</f>
        <v>Niet van toepassing</v>
      </c>
    </row>
    <row r="232" spans="1:5" s="28" customFormat="1">
      <c r="B232" s="114">
        <v>1</v>
      </c>
      <c r="C232" s="114" t="str">
        <f>VLOOKUP(B232,A227:B231,2,FALSE)</f>
        <v>Niet van toepassing</v>
      </c>
      <c r="E232" s="114"/>
    </row>
    <row r="233" spans="1:5" s="28" customFormat="1">
      <c r="B233" s="114"/>
      <c r="C233" s="114"/>
      <c r="D233" s="114"/>
    </row>
    <row r="234" spans="1:5" s="28" customFormat="1">
      <c r="B234" s="24" t="s">
        <v>102</v>
      </c>
      <c r="C234" s="114"/>
      <c r="D234" s="114"/>
    </row>
    <row r="235" spans="1:5" s="28" customFormat="1">
      <c r="A235" s="28">
        <v>1</v>
      </c>
      <c r="B235" s="30" t="s">
        <v>48</v>
      </c>
      <c r="C235" s="114"/>
      <c r="D235" s="114"/>
    </row>
    <row r="236" spans="1:5" s="28" customFormat="1">
      <c r="A236" s="28">
        <v>2</v>
      </c>
      <c r="B236" s="30" t="s">
        <v>409</v>
      </c>
      <c r="C236" s="114"/>
      <c r="D236" s="114"/>
    </row>
    <row r="237" spans="1:5" s="28" customFormat="1">
      <c r="A237" s="28">
        <v>3</v>
      </c>
      <c r="B237" s="113">
        <v>2025</v>
      </c>
      <c r="C237" s="114"/>
      <c r="D237" s="114"/>
    </row>
    <row r="238" spans="1:5" s="28" customFormat="1">
      <c r="A238" s="28">
        <v>4</v>
      </c>
      <c r="B238" s="113">
        <v>2026</v>
      </c>
      <c r="C238" s="114"/>
      <c r="D238" s="114"/>
    </row>
    <row r="239" spans="1:5" s="28" customFormat="1" ht="15" customHeight="1">
      <c r="B239" s="114">
        <v>1</v>
      </c>
      <c r="C239" s="119" t="str">
        <f>VLOOKUP(B239,A235:B238,2,FALSE)</f>
        <v>Niet van toepassing</v>
      </c>
      <c r="D239" s="114"/>
    </row>
    <row r="240" spans="1:5" s="28" customFormat="1" ht="30" customHeight="1">
      <c r="B240" s="24" t="s">
        <v>219</v>
      </c>
      <c r="C240" s="119" t="str">
        <f>IF(AND(B239&gt;=3,B224=3,'Keuzeblad maatregelen'!C166&lt;13),'Keuzeblad maatregelen'!E152,
IF(AND(B239&gt;=3,B224=3,'Keuzeblad maatregelen'!C166&gt;=13),C239,
IF(AND(B239=4,B224=4),"Eerste warmtepomp","")))</f>
        <v/>
      </c>
      <c r="D240" s="149"/>
    </row>
    <row r="241" spans="1:5" s="28" customFormat="1">
      <c r="B241" s="24"/>
      <c r="C241" s="114"/>
      <c r="D241" s="114"/>
    </row>
    <row r="242" spans="1:5" s="28" customFormat="1">
      <c r="B242" s="24" t="s">
        <v>103</v>
      </c>
      <c r="C242" s="114" t="str">
        <f>Hulpblad!C224&amp;" "&amp;Hulpblad!C232&amp;" "&amp;Hulpblad!C239&amp;""&amp;C240&amp;""</f>
        <v>Geen warmtepomp Niet van toepassing Niet van toepassing</v>
      </c>
      <c r="D242" s="114"/>
    </row>
    <row r="243" spans="1:5" s="28" customFormat="1"/>
    <row r="244" spans="1:5" s="28" customFormat="1">
      <c r="B244" s="25" t="s">
        <v>529</v>
      </c>
    </row>
    <row r="245" spans="1:5" s="28" customFormat="1">
      <c r="B245" s="28" t="s">
        <v>51</v>
      </c>
      <c r="C245" s="114">
        <f>VLOOKUP(C224,B212:E223,3,FALSE)</f>
        <v>0</v>
      </c>
    </row>
    <row r="246" spans="1:5" s="28" customFormat="1">
      <c r="B246" s="28" t="s">
        <v>52</v>
      </c>
      <c r="C246" s="114">
        <f>VLOOKUP(C224,B212:E223,4,FALSE)</f>
        <v>0</v>
      </c>
    </row>
    <row r="247" spans="1:5" s="28" customFormat="1">
      <c r="C247" s="114"/>
    </row>
    <row r="248" spans="1:5" s="28" customFormat="1">
      <c r="B248" s="25" t="s">
        <v>530</v>
      </c>
      <c r="C248" s="114"/>
    </row>
    <row r="249" spans="1:5" s="28" customFormat="1">
      <c r="B249" s="28" t="s">
        <v>51</v>
      </c>
      <c r="C249" s="114">
        <v>2024</v>
      </c>
    </row>
    <row r="250" spans="1:5" s="28" customFormat="1">
      <c r="B250" s="28" t="s">
        <v>52</v>
      </c>
      <c r="C250" s="114">
        <f>IF(C239=2025,2025,2026)</f>
        <v>2026</v>
      </c>
    </row>
    <row r="251" spans="1:5" s="28" customFormat="1">
      <c r="C251" s="114"/>
    </row>
    <row r="252" spans="1:5" s="28" customFormat="1" ht="18.75">
      <c r="B252" s="121" t="s">
        <v>408</v>
      </c>
      <c r="C252" s="27" t="s">
        <v>275</v>
      </c>
      <c r="D252" s="27" t="s">
        <v>273</v>
      </c>
      <c r="E252" s="27" t="s">
        <v>274</v>
      </c>
    </row>
    <row r="253" spans="1:5" s="28" customFormat="1" ht="15" customHeight="1">
      <c r="A253" s="28">
        <v>1</v>
      </c>
      <c r="B253" s="30" t="s">
        <v>30</v>
      </c>
      <c r="C253" s="28">
        <v>0</v>
      </c>
    </row>
    <row r="254" spans="1:5" s="28" customFormat="1">
      <c r="A254" s="28">
        <v>2</v>
      </c>
      <c r="B254" s="28" t="s">
        <v>12</v>
      </c>
      <c r="C254" s="28">
        <v>0</v>
      </c>
    </row>
    <row r="255" spans="1:5" s="28" customFormat="1">
      <c r="A255" s="28">
        <v>3</v>
      </c>
      <c r="B255" s="28" t="s">
        <v>521</v>
      </c>
      <c r="C255" s="28">
        <v>1</v>
      </c>
      <c r="D255" s="28">
        <v>1</v>
      </c>
      <c r="E255" s="28">
        <v>70</v>
      </c>
    </row>
    <row r="256" spans="1:5" s="28" customFormat="1">
      <c r="A256" s="28">
        <v>4</v>
      </c>
      <c r="B256" s="28" t="s">
        <v>522</v>
      </c>
      <c r="C256" s="28">
        <v>1</v>
      </c>
      <c r="D256" s="28">
        <v>71</v>
      </c>
      <c r="E256" s="28">
        <v>400</v>
      </c>
    </row>
    <row r="257" spans="1:5" s="28" customFormat="1">
      <c r="A257" s="28">
        <v>5</v>
      </c>
      <c r="B257" s="28" t="s">
        <v>13</v>
      </c>
      <c r="C257" s="28">
        <v>0</v>
      </c>
    </row>
    <row r="258" spans="1:5" s="28" customFormat="1">
      <c r="A258" s="28">
        <v>6</v>
      </c>
      <c r="B258" s="28" t="s">
        <v>14</v>
      </c>
      <c r="C258" s="28">
        <v>0</v>
      </c>
    </row>
    <row r="259" spans="1:5" s="28" customFormat="1">
      <c r="A259" s="28">
        <v>7</v>
      </c>
      <c r="B259" s="28" t="s">
        <v>523</v>
      </c>
      <c r="C259" s="28">
        <v>1</v>
      </c>
      <c r="D259" s="28">
        <v>10</v>
      </c>
      <c r="E259" s="28">
        <v>70</v>
      </c>
    </row>
    <row r="260" spans="1:5" s="28" customFormat="1">
      <c r="A260" s="28">
        <v>8</v>
      </c>
      <c r="B260" s="28" t="s">
        <v>524</v>
      </c>
      <c r="C260" s="28">
        <v>1</v>
      </c>
      <c r="D260" s="28">
        <v>71</v>
      </c>
      <c r="E260" s="28">
        <v>400</v>
      </c>
    </row>
    <row r="261" spans="1:5" s="28" customFormat="1">
      <c r="A261" s="28">
        <v>9</v>
      </c>
      <c r="B261" s="28" t="s">
        <v>15</v>
      </c>
      <c r="C261" s="28">
        <v>0</v>
      </c>
    </row>
    <row r="262" spans="1:5" s="28" customFormat="1">
      <c r="A262" s="28">
        <v>10</v>
      </c>
      <c r="B262" s="28" t="s">
        <v>16</v>
      </c>
      <c r="C262" s="28">
        <v>0</v>
      </c>
    </row>
    <row r="263" spans="1:5" s="28" customFormat="1">
      <c r="A263" s="28">
        <v>11</v>
      </c>
      <c r="B263" s="28" t="s">
        <v>525</v>
      </c>
      <c r="C263" s="28">
        <v>1</v>
      </c>
      <c r="D263" s="28">
        <v>10</v>
      </c>
      <c r="E263" s="28">
        <v>70</v>
      </c>
    </row>
    <row r="264" spans="1:5" s="28" customFormat="1">
      <c r="A264" s="28">
        <v>12</v>
      </c>
      <c r="B264" s="28" t="s">
        <v>526</v>
      </c>
      <c r="C264" s="28">
        <v>1</v>
      </c>
      <c r="D264" s="28">
        <v>71</v>
      </c>
      <c r="E264" s="28">
        <v>400</v>
      </c>
    </row>
    <row r="265" spans="1:5" s="28" customFormat="1">
      <c r="B265" s="114">
        <v>1</v>
      </c>
      <c r="C265" s="114" t="str">
        <f>VLOOKUP(B265,A253:B264,2,FALSE)</f>
        <v>Geen warmtepomp</v>
      </c>
    </row>
    <row r="266" spans="1:5" s="28" customFormat="1">
      <c r="B266" s="114"/>
    </row>
    <row r="267" spans="1:5" s="28" customFormat="1">
      <c r="B267" s="24" t="s">
        <v>50</v>
      </c>
      <c r="C267" s="25"/>
      <c r="D267" s="25"/>
      <c r="E267" s="25"/>
    </row>
    <row r="268" spans="1:5" s="28" customFormat="1">
      <c r="A268" s="28">
        <v>1</v>
      </c>
      <c r="B268" s="30" t="s">
        <v>48</v>
      </c>
      <c r="C268" s="25"/>
    </row>
    <row r="269" spans="1:5" s="28" customFormat="1">
      <c r="A269" s="28">
        <v>2</v>
      </c>
      <c r="B269" s="28" t="s">
        <v>99</v>
      </c>
    </row>
    <row r="270" spans="1:5" s="28" customFormat="1">
      <c r="A270" s="28">
        <v>3</v>
      </c>
      <c r="B270" s="28" t="s">
        <v>100</v>
      </c>
    </row>
    <row r="271" spans="1:5" s="28" customFormat="1">
      <c r="A271" s="28">
        <v>4</v>
      </c>
      <c r="B271" s="28" t="s">
        <v>101</v>
      </c>
    </row>
    <row r="272" spans="1:5" s="28" customFormat="1">
      <c r="A272" s="28">
        <v>5</v>
      </c>
      <c r="B272" s="28" t="str">
        <f>IF(OR($C$224="Geen warmtepomp",$C$224="Lucht-water ≥ 70 kW en ≤ 400 kW",$C$224="Grond-water ≥ 70 kW en ≤ 400 kW",$C$224="Water-water ≥ 70 kW en ≤ 400 kW" ),"Niet van toepassing","Energieklasse A t/m G")</f>
        <v>Niet van toepassing</v>
      </c>
    </row>
    <row r="273" spans="1:5" s="28" customFormat="1">
      <c r="B273" s="114">
        <v>1</v>
      </c>
      <c r="C273" s="114" t="str">
        <f>VLOOKUP(B273,A268:B272,2,FALSE)</f>
        <v>Niet van toepassing</v>
      </c>
      <c r="E273" s="114"/>
    </row>
    <row r="274" spans="1:5" s="28" customFormat="1">
      <c r="B274" s="114"/>
      <c r="C274" s="114"/>
      <c r="D274" s="114"/>
    </row>
    <row r="275" spans="1:5" s="28" customFormat="1">
      <c r="B275" s="24" t="s">
        <v>102</v>
      </c>
      <c r="C275" s="114"/>
      <c r="D275" s="114"/>
    </row>
    <row r="276" spans="1:5" s="28" customFormat="1">
      <c r="A276" s="28">
        <v>1</v>
      </c>
      <c r="B276" s="30" t="s">
        <v>48</v>
      </c>
      <c r="C276" s="114"/>
      <c r="D276" s="114"/>
    </row>
    <row r="277" spans="1:5" s="28" customFormat="1">
      <c r="A277" s="28">
        <v>2</v>
      </c>
      <c r="B277" s="30" t="s">
        <v>409</v>
      </c>
      <c r="C277" s="114"/>
      <c r="D277" s="114"/>
    </row>
    <row r="278" spans="1:5" s="28" customFormat="1">
      <c r="A278" s="28">
        <v>3</v>
      </c>
      <c r="B278" s="113">
        <v>2025</v>
      </c>
      <c r="C278" s="114"/>
      <c r="D278" s="114"/>
    </row>
    <row r="279" spans="1:5" s="28" customFormat="1">
      <c r="A279" s="28">
        <v>4</v>
      </c>
      <c r="B279" s="113">
        <v>2026</v>
      </c>
      <c r="C279" s="114"/>
      <c r="D279" s="114"/>
    </row>
    <row r="280" spans="1:5" s="28" customFormat="1">
      <c r="B280" s="114">
        <v>1</v>
      </c>
      <c r="C280" s="119" t="str">
        <f>VLOOKUP(B280,A276:B279,2,FALSE)</f>
        <v>Niet van toepassing</v>
      </c>
      <c r="D280" s="114"/>
    </row>
    <row r="281" spans="1:5" s="28" customFormat="1">
      <c r="B281" s="24" t="s">
        <v>536</v>
      </c>
      <c r="C281" s="119" t="str">
        <f>IF(AND(B280=3,B265=3,'Keuzeblad maatregelen'!C196&lt;13),'Keuzeblad maatregelen'!E182,
IF(AND(B280=3,B265=3,'Keuzeblad maatregelen'!C196&gt;=13),C280,""))</f>
        <v/>
      </c>
      <c r="D281" s="114"/>
    </row>
    <row r="282" spans="1:5" s="28" customFormat="1">
      <c r="B282" s="24"/>
      <c r="C282" s="114"/>
      <c r="D282" s="114"/>
    </row>
    <row r="283" spans="1:5" s="28" customFormat="1">
      <c r="B283" s="114"/>
      <c r="C283" s="114"/>
      <c r="D283" s="114"/>
    </row>
    <row r="284" spans="1:5" s="28" customFormat="1">
      <c r="B284" s="24" t="s">
        <v>103</v>
      </c>
      <c r="C284" s="114" t="str">
        <f>Hulpblad!C265&amp;" "&amp;Hulpblad!C273&amp;" "&amp;Hulpblad!C280&amp;""&amp;C281&amp;""</f>
        <v>Geen warmtepomp Niet van toepassing Niet van toepassing</v>
      </c>
      <c r="D284" s="114"/>
    </row>
    <row r="285" spans="1:5" s="28" customFormat="1"/>
    <row r="286" spans="1:5" s="28" customFormat="1">
      <c r="B286" s="25" t="s">
        <v>531</v>
      </c>
    </row>
    <row r="287" spans="1:5" s="28" customFormat="1">
      <c r="B287" s="28" t="s">
        <v>51</v>
      </c>
      <c r="C287" s="114">
        <f>VLOOKUP(C265,B253:E264,3,FALSE)</f>
        <v>0</v>
      </c>
    </row>
    <row r="288" spans="1:5" s="28" customFormat="1">
      <c r="B288" s="28" t="s">
        <v>52</v>
      </c>
      <c r="C288" s="114">
        <f>VLOOKUP(C265,B253:E264,4,FALSE)</f>
        <v>0</v>
      </c>
    </row>
    <row r="289" spans="1:3" s="28" customFormat="1">
      <c r="C289" s="114"/>
    </row>
    <row r="290" spans="1:3" s="28" customFormat="1">
      <c r="B290" s="25" t="s">
        <v>530</v>
      </c>
      <c r="C290" s="114"/>
    </row>
    <row r="291" spans="1:3" s="28" customFormat="1">
      <c r="B291" s="28" t="s">
        <v>51</v>
      </c>
      <c r="C291" s="114">
        <v>2024</v>
      </c>
    </row>
    <row r="292" spans="1:3" s="28" customFormat="1">
      <c r="B292" s="28" t="s">
        <v>52</v>
      </c>
      <c r="C292" s="114">
        <f>IF(C280=2025,2025,2026)</f>
        <v>2026</v>
      </c>
    </row>
    <row r="293" spans="1:3" s="28" customFormat="1">
      <c r="C293" s="114"/>
    </row>
    <row r="294" spans="1:3" s="28" customFormat="1"/>
    <row r="295" spans="1:3" s="28" customFormat="1" ht="18.75">
      <c r="B295" s="122" t="s">
        <v>33</v>
      </c>
    </row>
    <row r="296" spans="1:3" s="28" customFormat="1">
      <c r="A296" s="28">
        <v>1</v>
      </c>
      <c r="B296" s="28" t="s">
        <v>34</v>
      </c>
    </row>
    <row r="297" spans="1:3" s="28" customFormat="1" ht="17.25">
      <c r="A297" s="28">
        <v>2</v>
      </c>
      <c r="B297" s="28" t="s">
        <v>18</v>
      </c>
    </row>
    <row r="298" spans="1:3" s="28" customFormat="1" ht="17.25">
      <c r="A298" s="28">
        <v>3</v>
      </c>
      <c r="B298" s="28" t="s">
        <v>19</v>
      </c>
    </row>
    <row r="299" spans="1:3" s="28" customFormat="1" ht="17.25">
      <c r="A299" s="28">
        <v>4</v>
      </c>
      <c r="B299" s="28" t="s">
        <v>20</v>
      </c>
    </row>
    <row r="300" spans="1:3" s="28" customFormat="1" ht="17.25">
      <c r="A300" s="28">
        <v>5</v>
      </c>
      <c r="B300" s="28" t="s">
        <v>21</v>
      </c>
    </row>
    <row r="301" spans="1:3" s="28" customFormat="1">
      <c r="B301" s="114">
        <v>1</v>
      </c>
      <c r="C301" s="114" t="str">
        <f>VLOOKUP(B301,A296:B300,2,FALSE)</f>
        <v>Geen zonneboiler</v>
      </c>
    </row>
    <row r="302" spans="1:3" s="28" customFormat="1">
      <c r="B302" s="114"/>
      <c r="C302" s="114"/>
    </row>
    <row r="303" spans="1:3" s="28" customFormat="1">
      <c r="B303" s="24" t="s">
        <v>109</v>
      </c>
      <c r="C303" s="114"/>
    </row>
    <row r="304" spans="1:3" s="28" customFormat="1">
      <c r="A304" s="28">
        <v>1</v>
      </c>
      <c r="B304" s="30" t="s">
        <v>48</v>
      </c>
      <c r="C304" s="114"/>
    </row>
    <row r="305" spans="1:4" s="28" customFormat="1">
      <c r="A305" s="28">
        <v>2</v>
      </c>
      <c r="B305" s="30" t="s">
        <v>86</v>
      </c>
      <c r="C305" s="114"/>
    </row>
    <row r="306" spans="1:4" s="28" customFormat="1">
      <c r="B306" s="114">
        <v>1</v>
      </c>
      <c r="C306" s="114" t="str">
        <f>VLOOKUP(B306,A304:B305,2,FALSE)</f>
        <v>Niet van toepassing</v>
      </c>
    </row>
    <row r="307" spans="1:4" s="28" customFormat="1">
      <c r="B307" s="114"/>
      <c r="C307" s="114"/>
    </row>
    <row r="308" spans="1:4" s="28" customFormat="1">
      <c r="B308" s="24" t="s">
        <v>110</v>
      </c>
      <c r="C308" s="114" t="str">
        <f>Hulpblad!C301&amp;" "&amp;Hulpblad!C306&amp;""</f>
        <v>Geen zonneboiler Niet van toepassing</v>
      </c>
    </row>
    <row r="309" spans="1:4" s="28" customFormat="1">
      <c r="B309" s="25"/>
    </row>
    <row r="310" spans="1:4" s="28" customFormat="1" ht="18.75">
      <c r="B310" s="122" t="s">
        <v>35</v>
      </c>
    </row>
    <row r="311" spans="1:4" s="28" customFormat="1">
      <c r="A311" s="28">
        <v>1</v>
      </c>
      <c r="B311" s="28" t="s">
        <v>106</v>
      </c>
      <c r="C311" s="28" t="s">
        <v>48</v>
      </c>
      <c r="D311" s="28" t="str">
        <f>""</f>
        <v/>
      </c>
    </row>
    <row r="312" spans="1:4" s="28" customFormat="1">
      <c r="A312" s="28">
        <v>2</v>
      </c>
      <c r="B312" s="28" t="s">
        <v>105</v>
      </c>
      <c r="C312" s="28" t="s">
        <v>48</v>
      </c>
      <c r="D312" s="28" t="str">
        <f>""</f>
        <v/>
      </c>
    </row>
    <row r="313" spans="1:4" s="28" customFormat="1">
      <c r="B313" s="114">
        <v>1</v>
      </c>
      <c r="C313" s="114" t="str">
        <f>VLOOKUP(B313,A311:B312,2,FALSE)</f>
        <v>Geen aansluiting op een warmtenet</v>
      </c>
    </row>
    <row r="314" spans="1:4" s="28" customFormat="1">
      <c r="B314" s="24" t="s">
        <v>108</v>
      </c>
      <c r="C314" s="114"/>
    </row>
    <row r="315" spans="1:4" s="28" customFormat="1">
      <c r="A315" s="28">
        <v>1</v>
      </c>
      <c r="B315" s="30" t="s">
        <v>48</v>
      </c>
      <c r="C315" s="114"/>
    </row>
    <row r="316" spans="1:4" s="28" customFormat="1">
      <c r="A316" s="28">
        <v>2</v>
      </c>
      <c r="B316" s="30" t="s">
        <v>368</v>
      </c>
      <c r="C316" s="114"/>
    </row>
    <row r="317" spans="1:4" s="28" customFormat="1">
      <c r="B317" s="114">
        <v>1</v>
      </c>
      <c r="C317" s="114" t="str">
        <f>VLOOKUP(B317,A315:B316,2,FALSE)</f>
        <v>Niet van toepassing</v>
      </c>
    </row>
    <row r="318" spans="1:4" s="28" customFormat="1">
      <c r="B318" s="30"/>
    </row>
    <row r="319" spans="1:4" s="28" customFormat="1">
      <c r="B319" s="24" t="s">
        <v>539</v>
      </c>
      <c r="C319" s="114" t="str">
        <f>Hulpblad!C313&amp;" "&amp;Hulpblad!C317&amp;""</f>
        <v>Geen aansluiting op een warmtenet Niet van toepassing</v>
      </c>
    </row>
    <row r="320" spans="1:4" s="28" customFormat="1">
      <c r="B320" s="30"/>
    </row>
    <row r="321" spans="1:12" s="28" customFormat="1" ht="18.75">
      <c r="B321" s="122" t="s">
        <v>74</v>
      </c>
    </row>
    <row r="322" spans="1:12" s="28" customFormat="1" ht="45.75" customHeight="1">
      <c r="B322" s="28" t="s">
        <v>78</v>
      </c>
      <c r="E322" s="28" t="s">
        <v>75</v>
      </c>
      <c r="H322" s="126" t="s">
        <v>72</v>
      </c>
      <c r="K322" s="126" t="s">
        <v>76</v>
      </c>
    </row>
    <row r="323" spans="1:12" s="28" customFormat="1">
      <c r="A323" s="28">
        <v>1</v>
      </c>
      <c r="B323" s="28" t="s">
        <v>66</v>
      </c>
      <c r="D323" s="28">
        <v>1</v>
      </c>
      <c r="E323" s="28" t="str">
        <f>IF(C325="Nee","Niet van toepassing","Nee")</f>
        <v>Niet van toepassing</v>
      </c>
      <c r="G323" s="28">
        <v>1</v>
      </c>
      <c r="H323" s="30" t="str">
        <f>IF(OR(C325="Nee",F325="Nee"),"Niet van toepassing","Nee")</f>
        <v>Niet van toepassing</v>
      </c>
      <c r="J323" s="28">
        <v>1</v>
      </c>
      <c r="K323" s="28" t="str">
        <f>IF(OR(C325="Nee",F325="Nee",I325="Ja"),"Niet van toepassing","Nee")</f>
        <v>Niet van toepassing</v>
      </c>
    </row>
    <row r="324" spans="1:12" s="28" customFormat="1">
      <c r="A324" s="28">
        <v>2</v>
      </c>
      <c r="B324" s="28" t="s">
        <v>65</v>
      </c>
      <c r="D324" s="28">
        <v>2</v>
      </c>
      <c r="E324" s="28" t="str">
        <f>IF(C325="Nee","","Ja")</f>
        <v/>
      </c>
      <c r="G324" s="28">
        <v>2</v>
      </c>
      <c r="H324" s="30" t="str">
        <f>IF(OR(C325="Nee",F325="Nee"),"","Ja")</f>
        <v/>
      </c>
      <c r="J324" s="28">
        <v>2</v>
      </c>
      <c r="K324" s="28" t="str">
        <f>IF(OR(C325="Nee",F325="Nee",I325="Ja"),"","Ja")</f>
        <v/>
      </c>
    </row>
    <row r="325" spans="1:12" s="28" customFormat="1">
      <c r="B325" s="114">
        <v>1</v>
      </c>
      <c r="C325" s="114" t="str">
        <f>VLOOKUP(B325,A323:B324,2,FALSE)</f>
        <v>Nee</v>
      </c>
      <c r="E325" s="114">
        <v>1</v>
      </c>
      <c r="F325" s="114" t="str">
        <f>VLOOKUP(E325,D323:E324,2,FALSE)</f>
        <v>Niet van toepassing</v>
      </c>
      <c r="H325" s="114">
        <v>1</v>
      </c>
      <c r="I325" s="114" t="str">
        <f>VLOOKUP(H325,G323:H324,2,FALSE)</f>
        <v>Niet van toepassing</v>
      </c>
      <c r="K325" s="114">
        <v>1</v>
      </c>
      <c r="L325" s="114" t="str">
        <f>VLOOKUP(K325,J323:K324,2,FALSE)</f>
        <v>Niet van toepassing</v>
      </c>
    </row>
    <row r="326" spans="1:12" s="28" customFormat="1">
      <c r="B326" s="114"/>
      <c r="C326" s="114"/>
    </row>
    <row r="327" spans="1:12" s="28" customFormat="1">
      <c r="B327" s="114"/>
      <c r="C327" s="114"/>
    </row>
    <row r="328" spans="1:12" s="156" customFormat="1">
      <c r="C328" s="157"/>
    </row>
    <row r="329" spans="1:12" s="156" customFormat="1">
      <c r="C329" s="157"/>
    </row>
    <row r="330" spans="1:12" s="28" customFormat="1">
      <c r="B330" s="114"/>
      <c r="C330" s="114"/>
    </row>
    <row r="331" spans="1:12" s="28" customFormat="1" ht="28.5">
      <c r="A331" s="158" t="s">
        <v>53</v>
      </c>
      <c r="B331" s="114"/>
      <c r="C331" s="114"/>
    </row>
    <row r="332" spans="1:12" s="28" customFormat="1" ht="18.75">
      <c r="A332" s="122"/>
      <c r="B332" s="114"/>
      <c r="C332" s="114"/>
    </row>
    <row r="333" spans="1:12" s="28" customFormat="1" ht="18.75">
      <c r="A333" s="122"/>
      <c r="B333" s="24" t="s">
        <v>281</v>
      </c>
      <c r="C333" s="114"/>
    </row>
    <row r="334" spans="1:12" s="28" customFormat="1" ht="18.75">
      <c r="A334" s="122"/>
      <c r="B334" s="114"/>
      <c r="C334" s="114"/>
    </row>
    <row r="335" spans="1:12" s="28" customFormat="1" ht="15" customHeight="1">
      <c r="B335" s="25" t="s">
        <v>285</v>
      </c>
      <c r="C335" s="25" t="s">
        <v>237</v>
      </c>
      <c r="D335" s="112" t="s">
        <v>283</v>
      </c>
      <c r="E335" s="138" t="s">
        <v>25</v>
      </c>
      <c r="F335" s="138" t="s">
        <v>26</v>
      </c>
      <c r="G335" s="135"/>
      <c r="H335" s="27" t="s">
        <v>235</v>
      </c>
      <c r="I335" s="27" t="s">
        <v>236</v>
      </c>
    </row>
    <row r="336" spans="1:12" s="28" customFormat="1" ht="15" customHeight="1">
      <c r="B336" s="28" t="s">
        <v>29</v>
      </c>
      <c r="C336" s="28" t="s">
        <v>289</v>
      </c>
      <c r="D336" s="30">
        <v>0</v>
      </c>
      <c r="F336" s="28">
        <v>45</v>
      </c>
      <c r="H336" s="28">
        <v>0</v>
      </c>
      <c r="I336" s="28">
        <v>0</v>
      </c>
    </row>
    <row r="337" spans="1:10" s="28" customFormat="1" ht="15" customHeight="1">
      <c r="B337" s="28" t="s">
        <v>29</v>
      </c>
      <c r="C337" s="28" t="s">
        <v>290</v>
      </c>
      <c r="D337" s="30">
        <v>0</v>
      </c>
      <c r="F337" s="28">
        <v>45</v>
      </c>
      <c r="H337" s="28">
        <v>0</v>
      </c>
      <c r="I337" s="28">
        <v>0</v>
      </c>
    </row>
    <row r="338" spans="1:10" s="28" customFormat="1" ht="15" customHeight="1">
      <c r="B338" s="28" t="s">
        <v>29</v>
      </c>
      <c r="C338" s="28" t="s">
        <v>298</v>
      </c>
      <c r="D338" s="30">
        <v>0</v>
      </c>
      <c r="F338" s="28">
        <v>45</v>
      </c>
      <c r="H338" s="28">
        <v>0</v>
      </c>
      <c r="I338" s="28">
        <v>0</v>
      </c>
      <c r="J338" s="28" t="s">
        <v>28</v>
      </c>
    </row>
    <row r="339" spans="1:10" s="28" customFormat="1" ht="15" customHeight="1">
      <c r="B339" s="28" t="s">
        <v>29</v>
      </c>
      <c r="C339" s="28" t="s">
        <v>299</v>
      </c>
      <c r="D339" s="30">
        <v>0</v>
      </c>
      <c r="F339" s="28">
        <v>45</v>
      </c>
      <c r="H339" s="28">
        <v>0</v>
      </c>
      <c r="I339" s="28">
        <v>0</v>
      </c>
      <c r="J339" s="28" t="s">
        <v>28</v>
      </c>
    </row>
    <row r="340" spans="1:10" s="28" customFormat="1" ht="15" customHeight="1">
      <c r="B340" s="28" t="s">
        <v>29</v>
      </c>
      <c r="C340" s="28" t="s">
        <v>318</v>
      </c>
      <c r="D340" s="30">
        <v>0</v>
      </c>
      <c r="F340" s="28">
        <v>45</v>
      </c>
      <c r="H340" s="28">
        <v>0</v>
      </c>
      <c r="I340" s="28">
        <v>0</v>
      </c>
      <c r="J340" s="28" t="s">
        <v>28</v>
      </c>
    </row>
    <row r="341" spans="1:10" s="28" customFormat="1" ht="15" customHeight="1">
      <c r="B341" s="28" t="s">
        <v>29</v>
      </c>
      <c r="C341" s="28" t="s">
        <v>319</v>
      </c>
      <c r="D341" s="30">
        <v>0</v>
      </c>
      <c r="F341" s="28">
        <v>45</v>
      </c>
      <c r="H341" s="28">
        <v>0</v>
      </c>
      <c r="I341" s="28">
        <v>0</v>
      </c>
      <c r="J341" s="28" t="s">
        <v>28</v>
      </c>
    </row>
    <row r="342" spans="1:10" s="28" customFormat="1" ht="18.75">
      <c r="A342" s="122"/>
      <c r="B342" s="114"/>
      <c r="C342" s="114"/>
    </row>
    <row r="343" spans="1:10" s="28" customFormat="1" ht="15" customHeight="1">
      <c r="B343" s="28" t="s">
        <v>29</v>
      </c>
      <c r="C343" s="28" t="s">
        <v>291</v>
      </c>
      <c r="D343" s="30">
        <v>0</v>
      </c>
      <c r="F343" s="28">
        <v>45</v>
      </c>
      <c r="H343" s="28">
        <v>0</v>
      </c>
      <c r="I343" s="28">
        <v>0</v>
      </c>
    </row>
    <row r="344" spans="1:10" s="28" customFormat="1" ht="15" customHeight="1">
      <c r="B344" s="28" t="s">
        <v>29</v>
      </c>
      <c r="C344" s="28" t="s">
        <v>292</v>
      </c>
      <c r="D344" s="30">
        <v>0</v>
      </c>
      <c r="F344" s="28">
        <v>45</v>
      </c>
      <c r="H344" s="28">
        <v>0</v>
      </c>
      <c r="I344" s="28">
        <v>0</v>
      </c>
    </row>
    <row r="345" spans="1:10" s="28" customFormat="1" ht="15" customHeight="1">
      <c r="B345" s="28" t="s">
        <v>29</v>
      </c>
      <c r="C345" s="28" t="s">
        <v>300</v>
      </c>
      <c r="D345" s="30">
        <v>0</v>
      </c>
      <c r="F345" s="28">
        <v>45</v>
      </c>
      <c r="H345" s="28">
        <v>0</v>
      </c>
      <c r="I345" s="28">
        <v>0</v>
      </c>
      <c r="J345" s="28" t="s">
        <v>28</v>
      </c>
    </row>
    <row r="346" spans="1:10" s="28" customFormat="1" ht="15" customHeight="1">
      <c r="B346" s="28" t="s">
        <v>29</v>
      </c>
      <c r="C346" s="28" t="s">
        <v>301</v>
      </c>
      <c r="D346" s="30">
        <v>0</v>
      </c>
      <c r="F346" s="28">
        <v>45</v>
      </c>
      <c r="H346" s="28">
        <v>0</v>
      </c>
      <c r="I346" s="28">
        <v>0</v>
      </c>
      <c r="J346" s="28" t="s">
        <v>28</v>
      </c>
    </row>
    <row r="347" spans="1:10" s="28" customFormat="1" ht="15" customHeight="1">
      <c r="B347" s="28" t="s">
        <v>29</v>
      </c>
      <c r="C347" s="28" t="s">
        <v>320</v>
      </c>
      <c r="D347" s="30">
        <v>0</v>
      </c>
      <c r="F347" s="28">
        <v>45</v>
      </c>
      <c r="H347" s="28">
        <v>0</v>
      </c>
      <c r="I347" s="28">
        <v>0</v>
      </c>
      <c r="J347" s="28" t="s">
        <v>28</v>
      </c>
    </row>
    <row r="348" spans="1:10" s="28" customFormat="1" ht="15" customHeight="1">
      <c r="B348" s="28" t="s">
        <v>29</v>
      </c>
      <c r="C348" s="28" t="s">
        <v>321</v>
      </c>
      <c r="D348" s="30">
        <v>0</v>
      </c>
      <c r="F348" s="28">
        <v>45</v>
      </c>
      <c r="H348" s="28">
        <v>0</v>
      </c>
      <c r="I348" s="28">
        <v>0</v>
      </c>
      <c r="J348" s="28" t="s">
        <v>28</v>
      </c>
    </row>
    <row r="349" spans="1:10" s="28" customFormat="1" ht="15" customHeight="1">
      <c r="D349" s="30"/>
    </row>
    <row r="350" spans="1:10" s="28" customFormat="1" ht="15" customHeight="1">
      <c r="B350" s="25" t="s">
        <v>338</v>
      </c>
      <c r="C350" s="25" t="s">
        <v>214</v>
      </c>
      <c r="D350" s="112" t="s">
        <v>354</v>
      </c>
      <c r="E350" s="138" t="s">
        <v>25</v>
      </c>
      <c r="F350" s="138" t="s">
        <v>26</v>
      </c>
      <c r="G350" s="135"/>
      <c r="H350" s="27" t="s">
        <v>235</v>
      </c>
      <c r="I350" s="27" t="s">
        <v>236</v>
      </c>
    </row>
    <row r="351" spans="1:10" s="28" customFormat="1" ht="15" customHeight="1">
      <c r="B351" s="28" t="s">
        <v>29</v>
      </c>
      <c r="C351" s="28" t="s">
        <v>355</v>
      </c>
      <c r="D351" s="30">
        <v>0</v>
      </c>
      <c r="E351" s="28">
        <v>8</v>
      </c>
      <c r="F351" s="28">
        <v>45</v>
      </c>
      <c r="H351" s="28">
        <v>0</v>
      </c>
      <c r="I351" s="28">
        <v>0</v>
      </c>
    </row>
    <row r="352" spans="1:10" s="28" customFormat="1" ht="15" customHeight="1">
      <c r="B352" s="28" t="s">
        <v>29</v>
      </c>
      <c r="C352" s="28" t="s">
        <v>356</v>
      </c>
      <c r="D352" s="30">
        <v>0</v>
      </c>
      <c r="E352" s="28">
        <v>8</v>
      </c>
      <c r="F352" s="28">
        <v>45</v>
      </c>
      <c r="H352" s="28">
        <v>0</v>
      </c>
      <c r="I352" s="28">
        <v>0</v>
      </c>
    </row>
    <row r="353" spans="2:10" s="28" customFormat="1" ht="15" customHeight="1">
      <c r="B353" s="28" t="s">
        <v>29</v>
      </c>
      <c r="C353" s="28" t="s">
        <v>357</v>
      </c>
      <c r="D353" s="30">
        <v>0</v>
      </c>
      <c r="E353" s="28">
        <v>8</v>
      </c>
      <c r="F353" s="28">
        <v>45</v>
      </c>
      <c r="H353" s="28">
        <v>0</v>
      </c>
      <c r="I353" s="28">
        <v>0</v>
      </c>
      <c r="J353" s="28" t="s">
        <v>28</v>
      </c>
    </row>
    <row r="354" spans="2:10" s="28" customFormat="1" ht="15" customHeight="1">
      <c r="B354" s="28" t="s">
        <v>29</v>
      </c>
      <c r="C354" s="28" t="s">
        <v>358</v>
      </c>
      <c r="D354" s="30">
        <v>0</v>
      </c>
      <c r="E354" s="28">
        <v>8</v>
      </c>
      <c r="F354" s="28">
        <v>45</v>
      </c>
      <c r="H354" s="28">
        <v>0</v>
      </c>
      <c r="I354" s="28">
        <v>0</v>
      </c>
      <c r="J354" s="28" t="s">
        <v>28</v>
      </c>
    </row>
    <row r="355" spans="2:10" s="28" customFormat="1" ht="15" customHeight="1">
      <c r="B355" s="28" t="s">
        <v>29</v>
      </c>
      <c r="C355" s="28" t="s">
        <v>359</v>
      </c>
      <c r="D355" s="30">
        <v>0</v>
      </c>
      <c r="E355" s="28">
        <v>8</v>
      </c>
      <c r="F355" s="28">
        <v>45</v>
      </c>
      <c r="H355" s="28">
        <v>0</v>
      </c>
      <c r="I355" s="28">
        <v>0</v>
      </c>
      <c r="J355" s="28" t="s">
        <v>28</v>
      </c>
    </row>
    <row r="356" spans="2:10" s="28" customFormat="1" ht="15" customHeight="1">
      <c r="B356" s="28" t="s">
        <v>29</v>
      </c>
      <c r="C356" s="28" t="s">
        <v>360</v>
      </c>
      <c r="D356" s="30">
        <v>0</v>
      </c>
      <c r="E356" s="28">
        <v>8</v>
      </c>
      <c r="F356" s="28">
        <v>45</v>
      </c>
      <c r="H356" s="28">
        <v>0</v>
      </c>
      <c r="I356" s="28">
        <v>0</v>
      </c>
      <c r="J356" s="28" t="s">
        <v>28</v>
      </c>
    </row>
    <row r="357" spans="2:10" s="28" customFormat="1" ht="15" customHeight="1">
      <c r="B357" s="25"/>
      <c r="C357" s="25"/>
      <c r="D357" s="112"/>
      <c r="E357" s="138"/>
      <c r="F357" s="138"/>
      <c r="G357" s="135"/>
      <c r="H357" s="27"/>
      <c r="I357" s="27"/>
    </row>
    <row r="358" spans="2:10" s="28" customFormat="1" ht="15" customHeight="1">
      <c r="B358" s="28" t="s">
        <v>29</v>
      </c>
      <c r="C358" s="28" t="s">
        <v>361</v>
      </c>
      <c r="D358" s="30">
        <v>23</v>
      </c>
      <c r="E358" s="28">
        <v>8</v>
      </c>
      <c r="F358" s="28">
        <v>45</v>
      </c>
      <c r="H358" s="28">
        <f>IF(AND($C$183=1,$B$94=1),0,
IF(AND($C$183=1,$B$94&gt;1),1,
IF($C$183&gt;1,2,0)))</f>
        <v>0</v>
      </c>
      <c r="I358" s="28">
        <f>D358*H358</f>
        <v>0</v>
      </c>
    </row>
    <row r="359" spans="2:10" s="28" customFormat="1" ht="15" customHeight="1">
      <c r="B359" s="28" t="s">
        <v>29</v>
      </c>
      <c r="C359" s="28" t="s">
        <v>362</v>
      </c>
      <c r="D359" s="30">
        <v>65.5</v>
      </c>
      <c r="E359" s="28">
        <v>8</v>
      </c>
      <c r="F359" s="28">
        <v>45</v>
      </c>
      <c r="H359" s="28">
        <f>IF(AND($C$183=1,$B$106=1),0,
IF(AND($C$183=1,$B$106&gt;1),1,
IF($C$183&gt;1,2,0)))</f>
        <v>0</v>
      </c>
      <c r="I359" s="28">
        <f>D359*H359</f>
        <v>0</v>
      </c>
    </row>
    <row r="360" spans="2:10" s="28" customFormat="1" ht="15" customHeight="1">
      <c r="B360" s="28" t="s">
        <v>29</v>
      </c>
      <c r="C360" s="28" t="s">
        <v>363</v>
      </c>
      <c r="D360" s="30">
        <v>10</v>
      </c>
      <c r="E360" s="28">
        <v>8</v>
      </c>
      <c r="F360" s="28">
        <v>45</v>
      </c>
      <c r="H360" s="28">
        <f>IF(AND($C$183=1,$B$118=1),0,
IF(AND($C$183=1,$B$118&gt;1),1,
IF($C$183&gt;1,2,0)))</f>
        <v>0</v>
      </c>
      <c r="I360" s="28">
        <f t="shared" ref="I360:I363" si="2">D360*H360</f>
        <v>0</v>
      </c>
      <c r="J360" s="28" t="s">
        <v>28</v>
      </c>
    </row>
    <row r="361" spans="2:10" s="28" customFormat="1" ht="15" customHeight="1">
      <c r="B361" s="28" t="s">
        <v>29</v>
      </c>
      <c r="C361" s="28" t="s">
        <v>364</v>
      </c>
      <c r="D361" s="30">
        <v>45</v>
      </c>
      <c r="E361" s="28">
        <v>8</v>
      </c>
      <c r="F361" s="28">
        <v>45</v>
      </c>
      <c r="H361" s="28">
        <f>IF(AND($C$183=1,$B$130=1),0,
IF(AND($C$183=1,$B$130&gt;1),1,
IF($C$183&gt;1,2,0)))</f>
        <v>0</v>
      </c>
      <c r="I361" s="28">
        <f t="shared" si="2"/>
        <v>0</v>
      </c>
      <c r="J361" s="28" t="s">
        <v>28</v>
      </c>
    </row>
    <row r="362" spans="2:10" s="28" customFormat="1" ht="15" customHeight="1">
      <c r="B362" s="28" t="s">
        <v>29</v>
      </c>
      <c r="C362" s="28" t="s">
        <v>365</v>
      </c>
      <c r="D362" s="30">
        <v>23</v>
      </c>
      <c r="E362" s="28">
        <v>8</v>
      </c>
      <c r="F362" s="28">
        <v>45</v>
      </c>
      <c r="H362" s="28">
        <f>IF(AND($C$183=1,$B$142=1),0,
IF(AND($C$183=1,$B$142&gt;1),1,
IF($C$183&gt;1,2,0)))</f>
        <v>0</v>
      </c>
      <c r="I362" s="28">
        <f>D362*H362</f>
        <v>0</v>
      </c>
      <c r="J362" s="28" t="s">
        <v>28</v>
      </c>
    </row>
    <row r="363" spans="2:10" s="28" customFormat="1" ht="15" customHeight="1">
      <c r="B363" s="28" t="s">
        <v>29</v>
      </c>
      <c r="C363" s="28" t="s">
        <v>366</v>
      </c>
      <c r="D363" s="30">
        <v>65.5</v>
      </c>
      <c r="E363" s="28">
        <v>8</v>
      </c>
      <c r="F363" s="28">
        <v>45</v>
      </c>
      <c r="H363" s="28">
        <f>IF(AND($C$183=1,$B$154=1),0,
IF(AND($C$183=1,$B$154&gt;1),1,
IF($C$183&gt;1,2,0)))</f>
        <v>0</v>
      </c>
      <c r="I363" s="28">
        <f t="shared" si="2"/>
        <v>0</v>
      </c>
      <c r="J363" s="28" t="s">
        <v>28</v>
      </c>
    </row>
    <row r="364" spans="2:10" s="28" customFormat="1" ht="15" customHeight="1"/>
    <row r="365" spans="2:10" s="28" customFormat="1" ht="15" customHeight="1">
      <c r="B365" s="25" t="s">
        <v>339</v>
      </c>
      <c r="C365" s="25" t="s">
        <v>340</v>
      </c>
      <c r="D365" s="32" t="s">
        <v>341</v>
      </c>
      <c r="H365" s="27" t="s">
        <v>235</v>
      </c>
      <c r="I365" s="27" t="s">
        <v>236</v>
      </c>
    </row>
    <row r="366" spans="2:10" s="28" customFormat="1" ht="15" customHeight="1">
      <c r="B366" s="28" t="s">
        <v>29</v>
      </c>
      <c r="C366" s="28" t="s">
        <v>342</v>
      </c>
      <c r="D366" s="28">
        <v>0</v>
      </c>
      <c r="E366" s="28">
        <v>3</v>
      </c>
      <c r="F366" s="28">
        <v>45</v>
      </c>
      <c r="H366" s="28">
        <v>0</v>
      </c>
      <c r="I366" s="28">
        <v>0</v>
      </c>
    </row>
    <row r="367" spans="2:10" s="28" customFormat="1" ht="15" customHeight="1">
      <c r="B367" s="28" t="s">
        <v>29</v>
      </c>
      <c r="C367" s="28" t="s">
        <v>343</v>
      </c>
      <c r="D367" s="28">
        <v>0</v>
      </c>
      <c r="E367" s="28">
        <v>3</v>
      </c>
      <c r="F367" s="28">
        <v>45</v>
      </c>
      <c r="H367" s="28">
        <v>0</v>
      </c>
      <c r="I367" s="28">
        <v>0</v>
      </c>
      <c r="J367" s="28" t="s">
        <v>28</v>
      </c>
    </row>
    <row r="368" spans="2:10" s="28" customFormat="1" ht="15" customHeight="1">
      <c r="B368" s="28" t="s">
        <v>29</v>
      </c>
      <c r="C368" s="28" t="s">
        <v>344</v>
      </c>
      <c r="D368" s="28">
        <v>0</v>
      </c>
      <c r="E368" s="28">
        <v>3</v>
      </c>
      <c r="F368" s="28">
        <v>45</v>
      </c>
      <c r="H368" s="28">
        <v>0</v>
      </c>
      <c r="I368" s="28">
        <v>0</v>
      </c>
    </row>
    <row r="369" spans="2:10" s="28" customFormat="1" ht="15" customHeight="1">
      <c r="B369" s="28" t="s">
        <v>29</v>
      </c>
      <c r="C369" s="28" t="s">
        <v>345</v>
      </c>
      <c r="D369" s="28">
        <v>0</v>
      </c>
      <c r="E369" s="28">
        <v>3</v>
      </c>
      <c r="F369" s="28">
        <v>45</v>
      </c>
      <c r="H369" s="28">
        <v>0</v>
      </c>
      <c r="I369" s="28">
        <v>0</v>
      </c>
    </row>
    <row r="370" spans="2:10" s="28" customFormat="1" ht="15" customHeight="1">
      <c r="B370" s="28" t="s">
        <v>29</v>
      </c>
      <c r="C370" s="28" t="s">
        <v>346</v>
      </c>
      <c r="D370" s="28">
        <v>0</v>
      </c>
      <c r="E370" s="30">
        <v>3</v>
      </c>
      <c r="F370" s="28">
        <v>45</v>
      </c>
      <c r="H370" s="28">
        <v>0</v>
      </c>
      <c r="J370" s="28" t="s">
        <v>28</v>
      </c>
    </row>
    <row r="371" spans="2:10" s="28" customFormat="1" ht="15" customHeight="1">
      <c r="B371" s="28" t="s">
        <v>29</v>
      </c>
      <c r="C371" s="28" t="s">
        <v>347</v>
      </c>
      <c r="D371" s="28">
        <v>0</v>
      </c>
      <c r="E371" s="28">
        <v>3</v>
      </c>
      <c r="F371" s="28">
        <v>45</v>
      </c>
      <c r="H371" s="28">
        <v>0</v>
      </c>
      <c r="I371" s="28">
        <v>0</v>
      </c>
      <c r="J371" s="28" t="s">
        <v>28</v>
      </c>
    </row>
    <row r="372" spans="2:10" s="28" customFormat="1" ht="15" customHeight="1">
      <c r="B372" s="25"/>
      <c r="C372" s="25"/>
      <c r="D372" s="32"/>
      <c r="H372" s="27"/>
      <c r="I372" s="27"/>
    </row>
    <row r="373" spans="2:10" s="28" customFormat="1" ht="15" customHeight="1">
      <c r="B373" s="28" t="s">
        <v>29</v>
      </c>
      <c r="C373" s="28" t="s">
        <v>348</v>
      </c>
      <c r="D373" s="28">
        <v>25</v>
      </c>
      <c r="E373" s="28">
        <v>3</v>
      </c>
      <c r="F373" s="28">
        <v>45</v>
      </c>
      <c r="H373" s="28">
        <f>IF(AND($C$183=1,$B$94=1),0,
IF(AND($C$183=1,$B$94&gt;1),1,
IF($C$183&gt;1,2,0)))</f>
        <v>0</v>
      </c>
      <c r="I373" s="28">
        <f t="shared" ref="I373:I378" si="3">D373*H373</f>
        <v>0</v>
      </c>
    </row>
    <row r="374" spans="2:10" s="28" customFormat="1" ht="15" customHeight="1">
      <c r="B374" s="28" t="s">
        <v>29</v>
      </c>
      <c r="C374" s="28" t="s">
        <v>349</v>
      </c>
      <c r="D374" s="28">
        <v>111</v>
      </c>
      <c r="E374" s="28">
        <v>3</v>
      </c>
      <c r="F374" s="28">
        <v>45</v>
      </c>
      <c r="H374" s="28">
        <f>IF(AND($C$183=1,$B$106=1),0,
IF(AND($C$183=1,$B$106&gt;1),1,
IF($C$183&gt;1,2,0)))</f>
        <v>0</v>
      </c>
      <c r="I374" s="28">
        <f>D374*H374</f>
        <v>0</v>
      </c>
      <c r="J374" s="28" t="s">
        <v>28</v>
      </c>
    </row>
    <row r="375" spans="2:10" s="28" customFormat="1" ht="15" customHeight="1">
      <c r="B375" s="28" t="s">
        <v>29</v>
      </c>
      <c r="C375" s="28" t="s">
        <v>350</v>
      </c>
      <c r="D375" s="28">
        <v>10</v>
      </c>
      <c r="E375" s="28">
        <v>3</v>
      </c>
      <c r="F375" s="28">
        <v>45</v>
      </c>
      <c r="H375" s="28">
        <f>IF(AND($C$183=1,$B$118=1),0,
IF(AND($C$183=1,$B$118&gt;1),1,
IF($C$183&gt;1,2,0)))</f>
        <v>0</v>
      </c>
      <c r="I375" s="28">
        <f t="shared" si="3"/>
        <v>0</v>
      </c>
    </row>
    <row r="376" spans="2:10" s="28" customFormat="1" ht="15" customHeight="1">
      <c r="B376" s="28" t="s">
        <v>29</v>
      </c>
      <c r="C376" s="28" t="s">
        <v>351</v>
      </c>
      <c r="D376" s="28">
        <v>45</v>
      </c>
      <c r="E376" s="28">
        <v>3</v>
      </c>
      <c r="F376" s="28">
        <v>45</v>
      </c>
      <c r="H376" s="28">
        <f>IF(AND($C$183=1,$B$130=1),0,
IF(AND($C$183=1,$B$130&gt;1),1,
IF($C$183&gt;1,2,0)))</f>
        <v>0</v>
      </c>
      <c r="I376" s="28">
        <f t="shared" si="3"/>
        <v>0</v>
      </c>
    </row>
    <row r="377" spans="2:10" s="28" customFormat="1" ht="15" customHeight="1">
      <c r="B377" s="28" t="s">
        <v>29</v>
      </c>
      <c r="C377" s="28" t="s">
        <v>352</v>
      </c>
      <c r="D377" s="28">
        <v>25</v>
      </c>
      <c r="E377" s="30">
        <v>3</v>
      </c>
      <c r="F377" s="28">
        <v>45</v>
      </c>
      <c r="H377" s="28">
        <f>IF(AND($C$183=1,$B$142=1),0,
IF(AND($C$183=1,$B$142&gt;1),1,
IF($C$183&gt;1,2,0)))</f>
        <v>0</v>
      </c>
      <c r="I377" s="28">
        <f>D377*H377</f>
        <v>0</v>
      </c>
      <c r="J377" s="28" t="s">
        <v>28</v>
      </c>
    </row>
    <row r="378" spans="2:10" s="28" customFormat="1" ht="15" customHeight="1">
      <c r="B378" s="28" t="s">
        <v>29</v>
      </c>
      <c r="C378" s="28" t="s">
        <v>353</v>
      </c>
      <c r="D378" s="28">
        <v>111</v>
      </c>
      <c r="E378" s="28">
        <v>3</v>
      </c>
      <c r="F378" s="28">
        <v>45</v>
      </c>
      <c r="H378" s="28">
        <f>IF(AND($C$183=1,$B$154=1),0,
IF(AND($C$183=1,$B$154&gt;1),1,
IF($C$183&gt;1,2,0)))</f>
        <v>0</v>
      </c>
      <c r="I378" s="28">
        <f t="shared" si="3"/>
        <v>0</v>
      </c>
      <c r="J378" s="28" t="s">
        <v>28</v>
      </c>
    </row>
    <row r="379" spans="2:10" s="28" customFormat="1" ht="15" customHeight="1">
      <c r="D379" s="30"/>
      <c r="E379" s="30"/>
      <c r="J379" s="28" t="s">
        <v>28</v>
      </c>
    </row>
    <row r="380" spans="2:10" s="28" customFormat="1" ht="15" customHeight="1">
      <c r="D380" s="30"/>
      <c r="E380" s="30"/>
    </row>
    <row r="381" spans="2:10" s="28" customFormat="1" ht="15" customHeight="1">
      <c r="B381" s="25" t="s">
        <v>256</v>
      </c>
      <c r="C381" s="25" t="s">
        <v>237</v>
      </c>
      <c r="D381" s="111" t="s">
        <v>282</v>
      </c>
      <c r="E381" s="32" t="s">
        <v>210</v>
      </c>
      <c r="F381" s="29" t="s">
        <v>213</v>
      </c>
      <c r="G381" s="112" t="s">
        <v>211</v>
      </c>
      <c r="H381" s="27" t="s">
        <v>235</v>
      </c>
      <c r="I381" s="27" t="s">
        <v>236</v>
      </c>
    </row>
    <row r="382" spans="2:10" s="28" customFormat="1" ht="15" customHeight="1">
      <c r="B382" s="28" t="s">
        <v>4</v>
      </c>
      <c r="C382" s="28" t="s">
        <v>245</v>
      </c>
      <c r="D382" s="30">
        <v>0</v>
      </c>
      <c r="G382" s="28">
        <v>0</v>
      </c>
      <c r="H382" s="28">
        <v>0</v>
      </c>
      <c r="I382" s="28">
        <v>0</v>
      </c>
    </row>
    <row r="383" spans="2:10" s="28" customFormat="1" ht="15" customHeight="1">
      <c r="B383" s="28" t="s">
        <v>4</v>
      </c>
      <c r="C383" s="28" t="s">
        <v>246</v>
      </c>
      <c r="D383" s="30">
        <v>0</v>
      </c>
      <c r="G383" s="28">
        <v>0</v>
      </c>
      <c r="H383" s="28">
        <v>0</v>
      </c>
      <c r="I383" s="28">
        <v>0</v>
      </c>
    </row>
    <row r="384" spans="2:10" s="28" customFormat="1" ht="15" customHeight="1">
      <c r="B384" s="28" t="s">
        <v>5</v>
      </c>
      <c r="C384" s="28" t="s">
        <v>247</v>
      </c>
      <c r="D384" s="30">
        <v>0</v>
      </c>
      <c r="G384" s="28">
        <v>0</v>
      </c>
      <c r="H384" s="28">
        <v>0</v>
      </c>
      <c r="I384" s="28">
        <v>0</v>
      </c>
    </row>
    <row r="385" spans="2:9" s="28" customFormat="1" ht="15" customHeight="1">
      <c r="B385" s="28" t="s">
        <v>6</v>
      </c>
      <c r="C385" s="28" t="s">
        <v>248</v>
      </c>
      <c r="D385" s="30">
        <v>0</v>
      </c>
      <c r="G385" s="28">
        <v>0</v>
      </c>
      <c r="H385" s="28">
        <v>0</v>
      </c>
      <c r="I385" s="28">
        <v>0</v>
      </c>
    </row>
    <row r="386" spans="2:9" s="28" customFormat="1" ht="15" customHeight="1">
      <c r="B386" s="28" t="s">
        <v>8</v>
      </c>
      <c r="C386" s="28" t="s">
        <v>249</v>
      </c>
      <c r="D386" s="30">
        <v>0</v>
      </c>
      <c r="G386" s="28">
        <v>0</v>
      </c>
      <c r="H386" s="28">
        <v>0</v>
      </c>
      <c r="I386" s="28">
        <v>0</v>
      </c>
    </row>
    <row r="387" spans="2:9" s="28" customFormat="1" ht="15" customHeight="1">
      <c r="B387" s="28" t="s">
        <v>8</v>
      </c>
      <c r="C387" s="28" t="s">
        <v>244</v>
      </c>
      <c r="D387" s="30">
        <v>0</v>
      </c>
      <c r="G387" s="28">
        <v>0</v>
      </c>
      <c r="H387" s="28">
        <v>0</v>
      </c>
      <c r="I387" s="28">
        <v>0</v>
      </c>
    </row>
    <row r="388" spans="2:9" s="28" customFormat="1" ht="15" customHeight="1">
      <c r="D388" s="30"/>
    </row>
    <row r="389" spans="2:9" s="28" customFormat="1" ht="15" customHeight="1">
      <c r="B389" s="28" t="s">
        <v>4</v>
      </c>
      <c r="C389" s="28" t="s">
        <v>238</v>
      </c>
      <c r="D389" s="30">
        <v>0</v>
      </c>
      <c r="E389" s="30">
        <v>20</v>
      </c>
      <c r="F389" s="28">
        <v>200</v>
      </c>
      <c r="G389" s="28">
        <v>0</v>
      </c>
      <c r="H389" s="28">
        <v>0</v>
      </c>
      <c r="I389" s="28">
        <v>0</v>
      </c>
    </row>
    <row r="390" spans="2:9" s="28" customFormat="1" ht="15" customHeight="1">
      <c r="B390" s="28" t="s">
        <v>4</v>
      </c>
      <c r="C390" s="28" t="s">
        <v>239</v>
      </c>
      <c r="D390" s="30">
        <v>0</v>
      </c>
      <c r="E390" s="30">
        <v>20</v>
      </c>
      <c r="F390" s="28">
        <v>130</v>
      </c>
      <c r="G390" s="28">
        <v>0</v>
      </c>
      <c r="H390" s="28">
        <v>0</v>
      </c>
      <c r="I390" s="28">
        <v>0</v>
      </c>
    </row>
    <row r="391" spans="2:9" s="28" customFormat="1" ht="15" customHeight="1">
      <c r="B391" s="28" t="s">
        <v>5</v>
      </c>
      <c r="C391" s="28" t="s">
        <v>240</v>
      </c>
      <c r="D391" s="30">
        <v>0</v>
      </c>
      <c r="E391" s="30">
        <v>10</v>
      </c>
      <c r="F391" s="28">
        <v>170</v>
      </c>
      <c r="G391" s="28">
        <v>0</v>
      </c>
      <c r="H391" s="28">
        <v>0</v>
      </c>
      <c r="I391" s="28">
        <v>0</v>
      </c>
    </row>
    <row r="392" spans="2:9" s="28" customFormat="1" ht="15" customHeight="1">
      <c r="B392" s="28" t="s">
        <v>6</v>
      </c>
      <c r="C392" s="28" t="s">
        <v>241</v>
      </c>
      <c r="D392" s="30">
        <v>0</v>
      </c>
      <c r="E392" s="30">
        <v>10</v>
      </c>
      <c r="F392" s="28">
        <v>170</v>
      </c>
      <c r="G392" s="28">
        <v>0</v>
      </c>
      <c r="H392" s="28">
        <v>0</v>
      </c>
      <c r="I392" s="28">
        <v>0</v>
      </c>
    </row>
    <row r="393" spans="2:9" s="28" customFormat="1" ht="15" customHeight="1">
      <c r="B393" s="28" t="s">
        <v>8</v>
      </c>
      <c r="C393" s="28" t="s">
        <v>242</v>
      </c>
      <c r="D393" s="30">
        <v>0</v>
      </c>
      <c r="E393" s="30">
        <v>20</v>
      </c>
      <c r="F393" s="28">
        <v>130</v>
      </c>
      <c r="G393" s="28">
        <v>0</v>
      </c>
      <c r="H393" s="28">
        <v>0</v>
      </c>
      <c r="I393" s="28">
        <v>0</v>
      </c>
    </row>
    <row r="394" spans="2:9" s="28" customFormat="1" ht="15" customHeight="1">
      <c r="B394" s="28" t="s">
        <v>8</v>
      </c>
      <c r="C394" s="28" t="s">
        <v>243</v>
      </c>
      <c r="D394" s="30">
        <v>0</v>
      </c>
      <c r="E394" s="30">
        <v>20</v>
      </c>
      <c r="F394" s="28">
        <v>130</v>
      </c>
      <c r="G394" s="28">
        <v>0</v>
      </c>
      <c r="H394" s="28">
        <v>0</v>
      </c>
      <c r="I394" s="28">
        <v>0</v>
      </c>
    </row>
    <row r="395" spans="2:9" s="28" customFormat="1" ht="15" customHeight="1">
      <c r="D395" s="30"/>
      <c r="E395" s="30"/>
    </row>
    <row r="396" spans="2:9" s="28" customFormat="1" ht="15" customHeight="1">
      <c r="B396" s="25" t="s">
        <v>212</v>
      </c>
      <c r="C396" s="25" t="s">
        <v>214</v>
      </c>
      <c r="D396" s="111" t="s">
        <v>215</v>
      </c>
      <c r="E396" s="32" t="s">
        <v>210</v>
      </c>
      <c r="F396" s="29" t="s">
        <v>213</v>
      </c>
      <c r="G396" s="117" t="s">
        <v>211</v>
      </c>
      <c r="H396" s="29" t="s">
        <v>235</v>
      </c>
      <c r="I396" s="29" t="s">
        <v>236</v>
      </c>
    </row>
    <row r="397" spans="2:9" s="28" customFormat="1" ht="15" customHeight="1">
      <c r="B397" s="28" t="s">
        <v>4</v>
      </c>
      <c r="C397" s="28" t="s">
        <v>325</v>
      </c>
      <c r="D397" s="116">
        <v>0</v>
      </c>
      <c r="E397" s="32"/>
      <c r="F397" s="29"/>
      <c r="G397" s="117">
        <v>0</v>
      </c>
      <c r="H397" s="29">
        <v>0</v>
      </c>
      <c r="I397" s="32">
        <v>0</v>
      </c>
    </row>
    <row r="398" spans="2:9" s="28" customFormat="1" ht="15" customHeight="1">
      <c r="B398" s="28" t="s">
        <v>4</v>
      </c>
      <c r="C398" s="28" t="s">
        <v>326</v>
      </c>
      <c r="D398" s="30">
        <v>0</v>
      </c>
      <c r="G398" s="28">
        <v>0</v>
      </c>
      <c r="H398" s="29">
        <v>0</v>
      </c>
      <c r="I398" s="30">
        <f>D398*H398</f>
        <v>0</v>
      </c>
    </row>
    <row r="399" spans="2:9" s="28" customFormat="1" ht="15" customHeight="1">
      <c r="B399" s="28" t="s">
        <v>5</v>
      </c>
      <c r="C399" s="28" t="s">
        <v>327</v>
      </c>
      <c r="D399" s="30">
        <v>0</v>
      </c>
      <c r="G399" s="28">
        <v>0</v>
      </c>
      <c r="H399" s="29">
        <v>0</v>
      </c>
      <c r="I399" s="30">
        <f>D399*H399</f>
        <v>0</v>
      </c>
    </row>
    <row r="400" spans="2:9" s="28" customFormat="1" ht="15" customHeight="1">
      <c r="B400" s="28" t="s">
        <v>6</v>
      </c>
      <c r="C400" s="28" t="s">
        <v>328</v>
      </c>
      <c r="D400" s="30">
        <v>0</v>
      </c>
      <c r="G400" s="28">
        <v>0</v>
      </c>
      <c r="H400" s="29">
        <v>0</v>
      </c>
      <c r="I400" s="30">
        <f>D400*H400</f>
        <v>0</v>
      </c>
    </row>
    <row r="401" spans="2:9" s="28" customFormat="1" ht="15" customHeight="1">
      <c r="B401" s="28" t="s">
        <v>8</v>
      </c>
      <c r="C401" s="28" t="s">
        <v>329</v>
      </c>
      <c r="D401" s="30">
        <v>0</v>
      </c>
      <c r="G401" s="28">
        <v>0</v>
      </c>
      <c r="H401" s="29">
        <v>0</v>
      </c>
      <c r="I401" s="30">
        <f>D401*H401</f>
        <v>0</v>
      </c>
    </row>
    <row r="402" spans="2:9" s="28" customFormat="1" ht="15" customHeight="1">
      <c r="B402" s="28" t="s">
        <v>8</v>
      </c>
      <c r="C402" s="28" t="s">
        <v>330</v>
      </c>
      <c r="D402" s="30">
        <v>0</v>
      </c>
      <c r="G402" s="28">
        <v>0</v>
      </c>
      <c r="H402" s="29">
        <v>0</v>
      </c>
      <c r="I402" s="30">
        <f>D402*H402</f>
        <v>0</v>
      </c>
    </row>
    <row r="403" spans="2:9" s="28" customFormat="1" ht="15" customHeight="1">
      <c r="D403" s="30"/>
      <c r="H403" s="29"/>
      <c r="I403" s="114"/>
    </row>
    <row r="404" spans="2:9" s="28" customFormat="1" ht="15" customHeight="1">
      <c r="B404" s="28" t="s">
        <v>4</v>
      </c>
      <c r="C404" s="28" t="s">
        <v>331</v>
      </c>
      <c r="D404" s="30">
        <v>15</v>
      </c>
      <c r="E404" s="28">
        <v>20</v>
      </c>
      <c r="F404" s="28">
        <v>200</v>
      </c>
      <c r="G404" s="28">
        <v>5</v>
      </c>
      <c r="H404" s="114">
        <f>IF(AND($C$183=1,$B$20=1),0,
IF(AND($C$183=1,$B$20&gt;1),1,
IF($C$183&gt;1,2,0)))</f>
        <v>0</v>
      </c>
      <c r="I404" s="114">
        <f>D404*H404</f>
        <v>0</v>
      </c>
    </row>
    <row r="405" spans="2:9" s="28" customFormat="1" ht="15" customHeight="1">
      <c r="B405" s="28" t="s">
        <v>4</v>
      </c>
      <c r="C405" s="28" t="s">
        <v>332</v>
      </c>
      <c r="D405" s="30">
        <v>4</v>
      </c>
      <c r="E405" s="28">
        <v>20</v>
      </c>
      <c r="F405" s="28">
        <v>130</v>
      </c>
      <c r="G405" s="28">
        <v>1.5</v>
      </c>
      <c r="H405" s="114">
        <f>IF(AND($C$183=1,$B$31=1),0,
IF(AND($C$183=1,$B$31&gt;1),1,
IF($C$183&gt;1,2,0)))</f>
        <v>0</v>
      </c>
      <c r="I405" s="114">
        <f t="shared" ref="I405:I409" si="4">D405*H405</f>
        <v>0</v>
      </c>
    </row>
    <row r="406" spans="2:9" s="28" customFormat="1" ht="15" customHeight="1">
      <c r="B406" s="28" t="s">
        <v>5</v>
      </c>
      <c r="C406" s="28" t="s">
        <v>333</v>
      </c>
      <c r="D406" s="30">
        <v>19</v>
      </c>
      <c r="E406" s="28">
        <v>10</v>
      </c>
      <c r="F406" s="28">
        <v>170</v>
      </c>
      <c r="G406" s="28">
        <v>6</v>
      </c>
      <c r="H406" s="114">
        <f>IF(AND($C$183=1,$B$42=1),0,
IF(AND($C$183=1,$B$42&gt;1),1,
IF($C$183&gt;1,2,0)))</f>
        <v>0</v>
      </c>
      <c r="I406" s="114">
        <f t="shared" si="4"/>
        <v>0</v>
      </c>
    </row>
    <row r="407" spans="2:9" s="28" customFormat="1" ht="15" customHeight="1">
      <c r="B407" s="28" t="s">
        <v>6</v>
      </c>
      <c r="C407" s="28" t="s">
        <v>334</v>
      </c>
      <c r="D407" s="30">
        <v>4</v>
      </c>
      <c r="E407" s="28">
        <v>10</v>
      </c>
      <c r="F407" s="28">
        <v>170</v>
      </c>
      <c r="G407" s="28">
        <v>1.5</v>
      </c>
      <c r="H407" s="114">
        <f>IF(AND($C$183=1,$B$53=1),0,
IF(AND($C$183=1,$B$53&gt;1),1,
IF($C$183&gt;1,2,0)))</f>
        <v>0</v>
      </c>
      <c r="I407" s="114">
        <f t="shared" si="4"/>
        <v>0</v>
      </c>
    </row>
    <row r="408" spans="2:9" s="28" customFormat="1" ht="15" customHeight="1">
      <c r="B408" s="28" t="s">
        <v>8</v>
      </c>
      <c r="C408" s="28" t="s">
        <v>335</v>
      </c>
      <c r="D408" s="30">
        <v>5.5</v>
      </c>
      <c r="E408" s="28">
        <v>20</v>
      </c>
      <c r="F408" s="28">
        <v>130</v>
      </c>
      <c r="G408" s="28">
        <v>2</v>
      </c>
      <c r="H408" s="114">
        <f>IF(AND($C$183=1,$B$64=1),0,
IF(AND($C$183=1,$B$64&gt;1),1,
IF($C$183&gt;1,2,0)))</f>
        <v>0</v>
      </c>
      <c r="I408" s="114">
        <f t="shared" si="4"/>
        <v>0</v>
      </c>
    </row>
    <row r="409" spans="2:9" s="28" customFormat="1" ht="15" customHeight="1">
      <c r="B409" s="28" t="s">
        <v>8</v>
      </c>
      <c r="C409" s="28" t="s">
        <v>336</v>
      </c>
      <c r="D409" s="30">
        <v>3</v>
      </c>
      <c r="E409" s="28">
        <v>20</v>
      </c>
      <c r="F409" s="28">
        <v>130</v>
      </c>
      <c r="G409" s="28">
        <v>1</v>
      </c>
      <c r="H409" s="114">
        <f>IF(AND($C$183=1,$B$75=1),0,
IF(AND($C$183=1,$B$75&gt;1),1,
IF($C$183&gt;1,2,0)))</f>
        <v>0</v>
      </c>
      <c r="I409" s="114">
        <f t="shared" si="4"/>
        <v>0</v>
      </c>
    </row>
    <row r="410" spans="2:9" s="28" customFormat="1" ht="15" customHeight="1">
      <c r="D410" s="30"/>
      <c r="E410" s="30"/>
      <c r="I410" s="114"/>
    </row>
    <row r="411" spans="2:9" s="28" customFormat="1" ht="15" customHeight="1">
      <c r="D411" s="30"/>
      <c r="E411" s="30"/>
      <c r="I411" s="114"/>
    </row>
    <row r="412" spans="2:9" s="28" customFormat="1" ht="15" customHeight="1">
      <c r="B412" s="25" t="s">
        <v>370</v>
      </c>
      <c r="C412" s="25" t="s">
        <v>340</v>
      </c>
      <c r="D412" s="111" t="s">
        <v>371</v>
      </c>
      <c r="E412" s="32" t="s">
        <v>210</v>
      </c>
      <c r="F412" s="29" t="s">
        <v>213</v>
      </c>
      <c r="G412" s="117" t="s">
        <v>211</v>
      </c>
      <c r="H412" s="29" t="s">
        <v>235</v>
      </c>
      <c r="I412" s="29" t="s">
        <v>236</v>
      </c>
    </row>
    <row r="413" spans="2:9" s="28" customFormat="1" ht="15" customHeight="1">
      <c r="B413" s="28" t="s">
        <v>4</v>
      </c>
      <c r="C413" s="28" t="s">
        <v>372</v>
      </c>
      <c r="D413" s="116">
        <v>0</v>
      </c>
      <c r="E413" s="32"/>
      <c r="F413" s="29"/>
      <c r="G413" s="117">
        <v>0</v>
      </c>
      <c r="H413" s="28">
        <v>0</v>
      </c>
      <c r="I413" s="114">
        <f t="shared" ref="I413:I418" si="5">D413*H413</f>
        <v>0</v>
      </c>
    </row>
    <row r="414" spans="2:9" s="28" customFormat="1" ht="15" customHeight="1">
      <c r="B414" s="28" t="s">
        <v>4</v>
      </c>
      <c r="C414" s="28" t="s">
        <v>373</v>
      </c>
      <c r="D414" s="30">
        <v>0</v>
      </c>
      <c r="G414" s="28">
        <v>0</v>
      </c>
      <c r="H414" s="30">
        <v>0</v>
      </c>
      <c r="I414" s="114">
        <f t="shared" si="5"/>
        <v>0</v>
      </c>
    </row>
    <row r="415" spans="2:9" s="28" customFormat="1" ht="15" customHeight="1">
      <c r="B415" s="28" t="s">
        <v>5</v>
      </c>
      <c r="C415" s="28" t="s">
        <v>374</v>
      </c>
      <c r="D415" s="30">
        <v>0</v>
      </c>
      <c r="G415" s="28">
        <v>0</v>
      </c>
      <c r="H415" s="28">
        <v>0</v>
      </c>
      <c r="I415" s="114">
        <f t="shared" si="5"/>
        <v>0</v>
      </c>
    </row>
    <row r="416" spans="2:9" s="28" customFormat="1" ht="15" customHeight="1">
      <c r="B416" s="28" t="s">
        <v>6</v>
      </c>
      <c r="C416" s="28" t="s">
        <v>375</v>
      </c>
      <c r="D416" s="30">
        <v>0</v>
      </c>
      <c r="G416" s="28">
        <v>0</v>
      </c>
      <c r="H416" s="28">
        <v>0</v>
      </c>
      <c r="I416" s="114">
        <f t="shared" si="5"/>
        <v>0</v>
      </c>
    </row>
    <row r="417" spans="2:9" s="28" customFormat="1" ht="15" customHeight="1">
      <c r="B417" s="28" t="s">
        <v>8</v>
      </c>
      <c r="C417" s="28" t="s">
        <v>376</v>
      </c>
      <c r="D417" s="30">
        <v>0</v>
      </c>
      <c r="G417" s="28">
        <v>0</v>
      </c>
      <c r="H417" s="28">
        <v>0</v>
      </c>
      <c r="I417" s="114">
        <f t="shared" si="5"/>
        <v>0</v>
      </c>
    </row>
    <row r="418" spans="2:9" s="28" customFormat="1" ht="15" customHeight="1">
      <c r="B418" s="28" t="s">
        <v>8</v>
      </c>
      <c r="C418" s="28" t="s">
        <v>377</v>
      </c>
      <c r="D418" s="30">
        <v>0</v>
      </c>
      <c r="G418" s="28">
        <v>0</v>
      </c>
      <c r="H418" s="28">
        <v>0</v>
      </c>
      <c r="I418" s="114">
        <f t="shared" si="5"/>
        <v>0</v>
      </c>
    </row>
    <row r="419" spans="2:9" s="28" customFormat="1" ht="15" customHeight="1">
      <c r="D419" s="116"/>
      <c r="E419" s="32"/>
      <c r="F419" s="29"/>
      <c r="G419" s="112"/>
      <c r="I419" s="114"/>
    </row>
    <row r="420" spans="2:9" s="28" customFormat="1" ht="15" customHeight="1">
      <c r="B420" s="28" t="s">
        <v>4</v>
      </c>
      <c r="C420" s="28" t="s">
        <v>378</v>
      </c>
      <c r="D420" s="30">
        <v>16.25</v>
      </c>
      <c r="E420" s="28">
        <v>20</v>
      </c>
      <c r="F420" s="28">
        <v>200</v>
      </c>
      <c r="G420" s="28">
        <v>5</v>
      </c>
      <c r="H420" s="114">
        <f>IF(AND($C$183=1,$B$20=1),0,
IF(AND($C$183=1,$B$20&gt;1),1,
IF($C$183&gt;1,2,0)))</f>
        <v>0</v>
      </c>
      <c r="I420" s="114">
        <f t="shared" ref="I420:I425" si="6">D420*H420</f>
        <v>0</v>
      </c>
    </row>
    <row r="421" spans="2:9" s="28" customFormat="1" ht="15" customHeight="1">
      <c r="B421" s="28" t="s">
        <v>4</v>
      </c>
      <c r="C421" s="28" t="s">
        <v>379</v>
      </c>
      <c r="D421" s="30">
        <v>4</v>
      </c>
      <c r="E421" s="28">
        <v>20</v>
      </c>
      <c r="F421" s="28">
        <v>130</v>
      </c>
      <c r="G421" s="28">
        <v>1.5</v>
      </c>
      <c r="H421" s="114">
        <f>IF(AND($C$183=1,$B$31=1),0,
IF(AND($C$183=1,$B$31&gt;1),1,
IF($C$183&gt;1,2,0)))</f>
        <v>0</v>
      </c>
      <c r="I421" s="114">
        <f t="shared" si="6"/>
        <v>0</v>
      </c>
    </row>
    <row r="422" spans="2:9" s="28" customFormat="1" ht="15" customHeight="1">
      <c r="B422" s="28" t="s">
        <v>5</v>
      </c>
      <c r="C422" s="28" t="s">
        <v>380</v>
      </c>
      <c r="D422" s="30">
        <v>20.25</v>
      </c>
      <c r="E422" s="28">
        <v>10</v>
      </c>
      <c r="F422" s="28">
        <v>170</v>
      </c>
      <c r="G422" s="28">
        <v>6</v>
      </c>
      <c r="H422" s="114">
        <f>IF(AND($C$183=1,$B$42=1),0,
IF(AND($C$183=1,$B$42&gt;1),1,
IF($C$183&gt;1,2,0)))</f>
        <v>0</v>
      </c>
      <c r="I422" s="114">
        <f t="shared" si="6"/>
        <v>0</v>
      </c>
    </row>
    <row r="423" spans="2:9" s="28" customFormat="1" ht="15" customHeight="1">
      <c r="B423" s="28" t="s">
        <v>6</v>
      </c>
      <c r="C423" s="28" t="s">
        <v>381</v>
      </c>
      <c r="D423" s="30">
        <v>5.25</v>
      </c>
      <c r="E423" s="28">
        <v>10</v>
      </c>
      <c r="F423" s="28">
        <v>170</v>
      </c>
      <c r="G423" s="28">
        <v>1.5</v>
      </c>
      <c r="H423" s="114">
        <f>IF(AND($C$183=1,$B$53=1),0,
IF(AND($C$183=1,$B$53&gt;1),1,
IF($C$183&gt;1,2,0)))</f>
        <v>0</v>
      </c>
      <c r="I423" s="114">
        <f t="shared" si="6"/>
        <v>0</v>
      </c>
    </row>
    <row r="424" spans="2:9" s="28" customFormat="1" ht="15" customHeight="1">
      <c r="B424" s="28" t="s">
        <v>8</v>
      </c>
      <c r="C424" s="28" t="s">
        <v>382</v>
      </c>
      <c r="D424" s="30">
        <v>5.5</v>
      </c>
      <c r="E424" s="28">
        <v>20</v>
      </c>
      <c r="F424" s="28">
        <v>130</v>
      </c>
      <c r="G424" s="28">
        <v>2</v>
      </c>
      <c r="H424" s="114">
        <f>IF(AND($C$183=1,$B$64=1),0,
IF(AND($C$183=1,$B$64&gt;1),1,
IF($C$183&gt;1,2,0)))</f>
        <v>0</v>
      </c>
      <c r="I424" s="114">
        <f t="shared" si="6"/>
        <v>0</v>
      </c>
    </row>
    <row r="425" spans="2:9" s="28" customFormat="1" ht="15" customHeight="1">
      <c r="B425" s="28" t="s">
        <v>8</v>
      </c>
      <c r="C425" s="28" t="s">
        <v>383</v>
      </c>
      <c r="D425" s="30">
        <v>3</v>
      </c>
      <c r="E425" s="28">
        <v>20</v>
      </c>
      <c r="F425" s="28">
        <v>130</v>
      </c>
      <c r="G425" s="28">
        <v>1</v>
      </c>
      <c r="H425" s="114">
        <f>IF(AND($C$183=1,$B$75=1),0,
IF(AND($C$183=1,$B$75&gt;1),1,
IF($C$183&gt;1,2,0)))</f>
        <v>0</v>
      </c>
      <c r="I425" s="114">
        <f t="shared" si="6"/>
        <v>0</v>
      </c>
    </row>
    <row r="426" spans="2:9" s="28" customFormat="1" ht="15" customHeight="1">
      <c r="D426" s="30"/>
      <c r="E426" s="30"/>
      <c r="I426" s="114"/>
    </row>
    <row r="427" spans="2:9" s="28" customFormat="1" ht="15" customHeight="1">
      <c r="B427" s="25" t="s">
        <v>395</v>
      </c>
      <c r="C427" s="25" t="s">
        <v>396</v>
      </c>
      <c r="D427" s="26" t="s">
        <v>397</v>
      </c>
      <c r="E427" s="30"/>
      <c r="I427" s="114"/>
    </row>
    <row r="428" spans="2:9" s="28" customFormat="1" ht="15" customHeight="1">
      <c r="B428" s="28" t="s">
        <v>390</v>
      </c>
      <c r="C428" s="28" t="s">
        <v>398</v>
      </c>
      <c r="D428" s="30">
        <v>0</v>
      </c>
      <c r="E428" s="30"/>
      <c r="I428" s="114"/>
    </row>
    <row r="429" spans="2:9" s="28" customFormat="1" ht="15" customHeight="1">
      <c r="B429" s="28" t="s">
        <v>390</v>
      </c>
      <c r="C429" s="28" t="s">
        <v>399</v>
      </c>
      <c r="D429" s="30">
        <v>0</v>
      </c>
      <c r="E429" s="30"/>
      <c r="I429" s="114"/>
    </row>
    <row r="430" spans="2:9" s="28" customFormat="1" ht="15" customHeight="1">
      <c r="B430" s="28" t="s">
        <v>388</v>
      </c>
      <c r="C430" s="28" t="s">
        <v>404</v>
      </c>
      <c r="D430" s="30">
        <v>0</v>
      </c>
      <c r="E430" s="30"/>
      <c r="I430" s="114"/>
    </row>
    <row r="431" spans="2:9" s="28" customFormat="1" ht="15" customHeight="1">
      <c r="B431" s="28" t="s">
        <v>388</v>
      </c>
      <c r="C431" s="28" t="s">
        <v>395</v>
      </c>
      <c r="D431" s="30">
        <v>400</v>
      </c>
      <c r="E431" s="30"/>
      <c r="I431" s="114"/>
    </row>
    <row r="432" spans="2:9" s="28" customFormat="1" ht="15" customHeight="1">
      <c r="D432" s="30"/>
      <c r="E432" s="30"/>
    </row>
    <row r="433" spans="2:9" s="28" customFormat="1" ht="15" customHeight="1">
      <c r="B433" s="30"/>
      <c r="C433" s="30"/>
      <c r="D433" s="30"/>
      <c r="E433" s="30"/>
      <c r="F433" s="30"/>
      <c r="G433" s="30"/>
      <c r="H433" s="30"/>
      <c r="I433" s="28" t="str">
        <f>""</f>
        <v/>
      </c>
    </row>
    <row r="434" spans="2:9" s="28" customFormat="1" ht="15" customHeight="1">
      <c r="B434" s="24" t="s">
        <v>87</v>
      </c>
      <c r="C434" s="25" t="s">
        <v>158</v>
      </c>
      <c r="D434" s="26" t="s">
        <v>88</v>
      </c>
      <c r="E434" s="27" t="s">
        <v>89</v>
      </c>
      <c r="F434" s="27" t="s">
        <v>90</v>
      </c>
      <c r="G434" s="27" t="s">
        <v>91</v>
      </c>
      <c r="I434" s="28" t="str">
        <f>""</f>
        <v/>
      </c>
    </row>
    <row r="435" spans="2:9" s="28" customFormat="1" ht="15" customHeight="1">
      <c r="B435" s="28" t="s">
        <v>30</v>
      </c>
      <c r="C435" s="28" t="s">
        <v>30</v>
      </c>
      <c r="D435" s="29">
        <v>0</v>
      </c>
      <c r="E435" s="27">
        <v>0</v>
      </c>
      <c r="F435" s="27">
        <v>0</v>
      </c>
      <c r="G435" s="27">
        <v>0</v>
      </c>
      <c r="I435" s="28" t="str">
        <f>""</f>
        <v/>
      </c>
    </row>
    <row r="436" spans="2:9" s="28" customFormat="1" ht="15" customHeight="1">
      <c r="D436" s="29"/>
      <c r="E436" s="27"/>
      <c r="F436" s="27"/>
      <c r="G436" s="27"/>
      <c r="I436" s="28" t="str">
        <f>""</f>
        <v/>
      </c>
    </row>
    <row r="437" spans="2:9" s="28" customFormat="1" ht="15" customHeight="1">
      <c r="B437" s="28" t="s">
        <v>12</v>
      </c>
      <c r="C437" s="28" t="s">
        <v>410</v>
      </c>
      <c r="D437" s="29">
        <v>500</v>
      </c>
      <c r="E437" s="29">
        <v>450</v>
      </c>
      <c r="F437" s="30">
        <f>D437+E437</f>
        <v>950</v>
      </c>
      <c r="G437" s="29">
        <v>0</v>
      </c>
      <c r="I437" s="28" t="str">
        <f>""</f>
        <v/>
      </c>
    </row>
    <row r="438" spans="2:9" s="28" customFormat="1" ht="15" customHeight="1">
      <c r="B438" s="28" t="s">
        <v>12</v>
      </c>
      <c r="C438" s="28" t="s">
        <v>411</v>
      </c>
      <c r="D438" s="30">
        <v>500</v>
      </c>
      <c r="E438" s="30">
        <v>450</v>
      </c>
      <c r="F438" s="30">
        <f>D438+E438</f>
        <v>950</v>
      </c>
      <c r="G438" s="30">
        <v>0</v>
      </c>
      <c r="I438" s="28" t="str">
        <f>""</f>
        <v/>
      </c>
    </row>
    <row r="439" spans="2:9" s="28" customFormat="1" ht="15" customHeight="1">
      <c r="B439" s="28" t="s">
        <v>12</v>
      </c>
      <c r="C439" s="28" t="s">
        <v>412</v>
      </c>
      <c r="D439" s="30">
        <v>500</v>
      </c>
      <c r="E439" s="30">
        <v>225</v>
      </c>
      <c r="F439" s="30">
        <f t="shared" ref="F439:F493" si="7">D439+E439</f>
        <v>725</v>
      </c>
      <c r="G439" s="30">
        <v>0</v>
      </c>
      <c r="I439" s="28" t="str">
        <f>""</f>
        <v/>
      </c>
    </row>
    <row r="440" spans="2:9" s="28" customFormat="1" ht="15" customHeight="1">
      <c r="B440" s="28" t="s">
        <v>12</v>
      </c>
      <c r="C440" s="28" t="s">
        <v>413</v>
      </c>
      <c r="D440" s="30">
        <v>500</v>
      </c>
      <c r="E440" s="30">
        <v>0</v>
      </c>
      <c r="F440" s="30">
        <f t="shared" si="7"/>
        <v>500</v>
      </c>
      <c r="G440" s="30">
        <v>0</v>
      </c>
      <c r="I440" s="28" t="str">
        <f>""</f>
        <v/>
      </c>
    </row>
    <row r="441" spans="2:9" s="28" customFormat="1" ht="15" customHeight="1">
      <c r="D441" s="30"/>
      <c r="E441" s="30"/>
      <c r="F441" s="30"/>
      <c r="G441" s="30"/>
      <c r="I441" s="28" t="str">
        <f>""</f>
        <v/>
      </c>
    </row>
    <row r="442" spans="2:9" s="28" customFormat="1" ht="15" customHeight="1">
      <c r="B442" s="28" t="s">
        <v>92</v>
      </c>
      <c r="C442" s="28" t="s">
        <v>414</v>
      </c>
      <c r="D442" s="30">
        <v>2100</v>
      </c>
      <c r="E442" s="30">
        <v>225</v>
      </c>
      <c r="F442" s="30">
        <f t="shared" si="7"/>
        <v>2325</v>
      </c>
      <c r="G442" s="30">
        <v>150</v>
      </c>
      <c r="H442" s="28" t="s">
        <v>24</v>
      </c>
      <c r="I442" s="28" t="str">
        <f>""</f>
        <v/>
      </c>
    </row>
    <row r="443" spans="2:9" s="28" customFormat="1" ht="15" customHeight="1">
      <c r="B443" s="28" t="s">
        <v>92</v>
      </c>
      <c r="C443" s="28" t="s">
        <v>415</v>
      </c>
      <c r="D443" s="30">
        <v>2100</v>
      </c>
      <c r="E443" s="30">
        <v>0</v>
      </c>
      <c r="F443" s="30">
        <f t="shared" si="7"/>
        <v>2100</v>
      </c>
      <c r="G443" s="30">
        <v>150</v>
      </c>
      <c r="H443" s="28" t="s">
        <v>24</v>
      </c>
      <c r="I443" s="28" t="str">
        <f>""</f>
        <v/>
      </c>
    </row>
    <row r="444" spans="2:9" s="28" customFormat="1" ht="15" customHeight="1">
      <c r="B444" s="28" t="s">
        <v>92</v>
      </c>
      <c r="C444" s="28" t="s">
        <v>416</v>
      </c>
      <c r="D444" s="30">
        <v>0</v>
      </c>
      <c r="E444" s="30">
        <v>0</v>
      </c>
      <c r="F444" s="30">
        <f t="shared" si="7"/>
        <v>0</v>
      </c>
      <c r="G444" s="30">
        <v>0</v>
      </c>
      <c r="I444" s="28" t="s">
        <v>115</v>
      </c>
    </row>
    <row r="445" spans="2:9" s="28" customFormat="1" ht="15" customHeight="1">
      <c r="B445" s="28" t="s">
        <v>92</v>
      </c>
      <c r="C445" s="28" t="s">
        <v>417</v>
      </c>
      <c r="D445" s="30">
        <v>0</v>
      </c>
      <c r="E445" s="30">
        <v>0</v>
      </c>
      <c r="F445" s="30">
        <f t="shared" si="7"/>
        <v>0</v>
      </c>
      <c r="G445" s="30">
        <v>0</v>
      </c>
      <c r="I445" s="28" t="s">
        <v>115</v>
      </c>
    </row>
    <row r="446" spans="2:9" s="28" customFormat="1" ht="15" customHeight="1">
      <c r="D446" s="30"/>
      <c r="E446" s="30"/>
      <c r="F446" s="30"/>
      <c r="G446" s="30"/>
      <c r="I446" s="28" t="str">
        <f>""</f>
        <v/>
      </c>
    </row>
    <row r="447" spans="2:9" s="28" customFormat="1" ht="15" customHeight="1">
      <c r="B447" s="30" t="s">
        <v>93</v>
      </c>
      <c r="C447" s="28" t="s">
        <v>418</v>
      </c>
      <c r="D447" s="30">
        <f>1650+(71-1)*150</f>
        <v>12150</v>
      </c>
      <c r="E447" s="30">
        <v>0</v>
      </c>
      <c r="F447" s="30">
        <f t="shared" si="7"/>
        <v>12150</v>
      </c>
      <c r="G447" s="30">
        <v>150</v>
      </c>
      <c r="H447" s="30" t="s">
        <v>98</v>
      </c>
    </row>
    <row r="448" spans="2:9" s="28" customFormat="1" ht="15" customHeight="1">
      <c r="B448" s="30" t="s">
        <v>93</v>
      </c>
      <c r="C448" s="28" t="s">
        <v>419</v>
      </c>
      <c r="D448" s="30">
        <f>1650+(71-1)*150</f>
        <v>12150</v>
      </c>
      <c r="E448" s="30">
        <v>0</v>
      </c>
      <c r="F448" s="30">
        <f t="shared" si="7"/>
        <v>12150</v>
      </c>
      <c r="G448" s="30">
        <v>150</v>
      </c>
      <c r="H448" s="30" t="s">
        <v>98</v>
      </c>
      <c r="I448" s="28" t="str">
        <f>""</f>
        <v/>
      </c>
    </row>
    <row r="449" spans="2:9" s="28" customFormat="1" ht="15" customHeight="1">
      <c r="B449" s="30" t="s">
        <v>93</v>
      </c>
      <c r="C449" s="28" t="s">
        <v>420</v>
      </c>
      <c r="D449" s="30">
        <f t="shared" ref="D449:D451" si="8">1650+(71-1)*150</f>
        <v>12150</v>
      </c>
      <c r="E449" s="30">
        <v>0</v>
      </c>
      <c r="F449" s="30">
        <f t="shared" si="7"/>
        <v>12150</v>
      </c>
      <c r="G449" s="30">
        <v>150</v>
      </c>
      <c r="H449" s="30" t="s">
        <v>98</v>
      </c>
      <c r="I449" s="28" t="str">
        <f>""</f>
        <v/>
      </c>
    </row>
    <row r="450" spans="2:9" s="28" customFormat="1" ht="15" customHeight="1">
      <c r="B450" s="30" t="s">
        <v>93</v>
      </c>
      <c r="C450" s="28" t="s">
        <v>421</v>
      </c>
      <c r="D450" s="30">
        <f t="shared" si="8"/>
        <v>12150</v>
      </c>
      <c r="E450" s="30">
        <v>0</v>
      </c>
      <c r="F450" s="30">
        <f t="shared" si="7"/>
        <v>12150</v>
      </c>
      <c r="G450" s="30">
        <v>150</v>
      </c>
      <c r="H450" s="30" t="s">
        <v>98</v>
      </c>
      <c r="I450" s="28" t="str">
        <f>""</f>
        <v/>
      </c>
    </row>
    <row r="451" spans="2:9" s="28" customFormat="1" ht="15" customHeight="1">
      <c r="B451" s="30" t="s">
        <v>93</v>
      </c>
      <c r="C451" s="28" t="s">
        <v>422</v>
      </c>
      <c r="D451" s="30">
        <f t="shared" si="8"/>
        <v>12150</v>
      </c>
      <c r="E451" s="30">
        <v>0</v>
      </c>
      <c r="F451" s="30">
        <f t="shared" si="7"/>
        <v>12150</v>
      </c>
      <c r="G451" s="30">
        <v>150</v>
      </c>
      <c r="H451" s="30" t="s">
        <v>98</v>
      </c>
      <c r="I451" s="28" t="str">
        <f>""</f>
        <v/>
      </c>
    </row>
    <row r="452" spans="2:9" s="28" customFormat="1" ht="15" customHeight="1">
      <c r="B452" s="30"/>
      <c r="D452" s="30"/>
      <c r="E452" s="30"/>
      <c r="F452" s="30"/>
      <c r="G452" s="30"/>
      <c r="H452" s="30"/>
      <c r="I452" s="28" t="str">
        <f>""</f>
        <v/>
      </c>
    </row>
    <row r="453" spans="2:9" s="28" customFormat="1" ht="15" customHeight="1">
      <c r="B453" s="28" t="s">
        <v>13</v>
      </c>
      <c r="C453" s="28" t="s">
        <v>423</v>
      </c>
      <c r="D453" s="30">
        <v>500</v>
      </c>
      <c r="E453" s="30">
        <v>450</v>
      </c>
      <c r="F453" s="30">
        <f t="shared" si="7"/>
        <v>950</v>
      </c>
      <c r="G453" s="30">
        <v>0</v>
      </c>
      <c r="H453" s="30"/>
      <c r="I453" s="28" t="str">
        <f>""</f>
        <v/>
      </c>
    </row>
    <row r="454" spans="2:9" s="28" customFormat="1" ht="15" customHeight="1">
      <c r="B454" s="28" t="s">
        <v>13</v>
      </c>
      <c r="C454" s="28" t="s">
        <v>424</v>
      </c>
      <c r="D454" s="30">
        <v>500</v>
      </c>
      <c r="E454" s="30">
        <v>450</v>
      </c>
      <c r="F454" s="30">
        <f t="shared" si="7"/>
        <v>950</v>
      </c>
      <c r="G454" s="30">
        <v>0</v>
      </c>
      <c r="I454" s="28" t="str">
        <f>""</f>
        <v/>
      </c>
    </row>
    <row r="455" spans="2:9" s="28" customFormat="1" ht="15" customHeight="1">
      <c r="B455" s="28" t="s">
        <v>13</v>
      </c>
      <c r="C455" s="28" t="s">
        <v>425</v>
      </c>
      <c r="D455" s="30">
        <v>500</v>
      </c>
      <c r="E455" s="30">
        <v>225</v>
      </c>
      <c r="F455" s="30">
        <f t="shared" si="7"/>
        <v>725</v>
      </c>
      <c r="G455" s="30">
        <v>0</v>
      </c>
      <c r="I455" s="28" t="str">
        <f>""</f>
        <v/>
      </c>
    </row>
    <row r="456" spans="2:9" s="28" customFormat="1" ht="15" customHeight="1">
      <c r="B456" s="28" t="s">
        <v>13</v>
      </c>
      <c r="C456" s="28" t="s">
        <v>426</v>
      </c>
      <c r="D456" s="30">
        <v>500</v>
      </c>
      <c r="E456" s="30">
        <v>0</v>
      </c>
      <c r="F456" s="30">
        <f t="shared" si="7"/>
        <v>500</v>
      </c>
      <c r="G456" s="30">
        <v>0</v>
      </c>
      <c r="I456" s="28" t="str">
        <f>""</f>
        <v/>
      </c>
    </row>
    <row r="457" spans="2:9" s="28" customFormat="1" ht="15" customHeight="1">
      <c r="D457" s="30"/>
      <c r="E457" s="30"/>
      <c r="F457" s="30"/>
      <c r="G457" s="30"/>
      <c r="I457" s="28" t="str">
        <f>""</f>
        <v/>
      </c>
    </row>
    <row r="458" spans="2:9" s="28" customFormat="1" ht="15" customHeight="1">
      <c r="B458" s="28" t="s">
        <v>14</v>
      </c>
      <c r="C458" s="28" t="s">
        <v>427</v>
      </c>
      <c r="D458" s="30">
        <v>4200</v>
      </c>
      <c r="E458" s="30">
        <v>225</v>
      </c>
      <c r="F458" s="30">
        <f t="shared" si="7"/>
        <v>4425</v>
      </c>
      <c r="G458" s="30">
        <v>0</v>
      </c>
      <c r="I458" s="28" t="str">
        <f>""</f>
        <v/>
      </c>
    </row>
    <row r="459" spans="2:9" s="28" customFormat="1" ht="15" customHeight="1">
      <c r="B459" s="28" t="s">
        <v>14</v>
      </c>
      <c r="C459" s="28" t="s">
        <v>428</v>
      </c>
      <c r="D459" s="30">
        <v>4200</v>
      </c>
      <c r="E459" s="30">
        <v>0</v>
      </c>
      <c r="F459" s="30">
        <f t="shared" si="7"/>
        <v>4200</v>
      </c>
      <c r="G459" s="30">
        <v>0</v>
      </c>
      <c r="I459" s="28" t="str">
        <f>""</f>
        <v/>
      </c>
    </row>
    <row r="460" spans="2:9" s="28" customFormat="1" ht="15" customHeight="1">
      <c r="B460" s="28" t="s">
        <v>14</v>
      </c>
      <c r="C460" s="28" t="s">
        <v>429</v>
      </c>
      <c r="D460" s="30">
        <v>0</v>
      </c>
      <c r="E460" s="30">
        <v>0</v>
      </c>
      <c r="F460" s="30">
        <f t="shared" si="7"/>
        <v>0</v>
      </c>
      <c r="G460" s="30">
        <v>0</v>
      </c>
      <c r="I460" s="28" t="s">
        <v>115</v>
      </c>
    </row>
    <row r="461" spans="2:9" s="28" customFormat="1" ht="15" customHeight="1">
      <c r="B461" s="28" t="s">
        <v>14</v>
      </c>
      <c r="C461" s="28" t="s">
        <v>430</v>
      </c>
      <c r="D461" s="30">
        <v>0</v>
      </c>
      <c r="E461" s="30">
        <v>0</v>
      </c>
      <c r="F461" s="30">
        <f t="shared" si="7"/>
        <v>0</v>
      </c>
      <c r="G461" s="30">
        <v>0</v>
      </c>
      <c r="I461" s="28" t="s">
        <v>115</v>
      </c>
    </row>
    <row r="462" spans="2:9" s="28" customFormat="1" ht="15" customHeight="1">
      <c r="D462" s="30"/>
      <c r="E462" s="30"/>
      <c r="F462" s="30"/>
      <c r="G462" s="30"/>
      <c r="I462" s="28" t="str">
        <f>""</f>
        <v/>
      </c>
    </row>
    <row r="463" spans="2:9" s="28" customFormat="1" ht="15" customHeight="1">
      <c r="B463" s="28" t="s">
        <v>96</v>
      </c>
      <c r="C463" s="28" t="s">
        <v>431</v>
      </c>
      <c r="D463" s="30">
        <v>4200</v>
      </c>
      <c r="E463" s="30">
        <v>225</v>
      </c>
      <c r="F463" s="30">
        <f t="shared" si="7"/>
        <v>4425</v>
      </c>
      <c r="G463" s="30">
        <v>150</v>
      </c>
      <c r="H463" s="30" t="s">
        <v>23</v>
      </c>
      <c r="I463" s="28" t="str">
        <f>""</f>
        <v/>
      </c>
    </row>
    <row r="464" spans="2:9" s="28" customFormat="1" ht="15" customHeight="1">
      <c r="B464" s="28" t="s">
        <v>96</v>
      </c>
      <c r="C464" s="28" t="s">
        <v>432</v>
      </c>
      <c r="D464" s="30">
        <v>4200</v>
      </c>
      <c r="E464" s="30">
        <v>0</v>
      </c>
      <c r="F464" s="30">
        <f t="shared" si="7"/>
        <v>4200</v>
      </c>
      <c r="G464" s="30">
        <v>150</v>
      </c>
      <c r="H464" s="30" t="s">
        <v>23</v>
      </c>
      <c r="I464" s="28" t="str">
        <f>""</f>
        <v/>
      </c>
    </row>
    <row r="465" spans="2:9" s="28" customFormat="1" ht="15" customHeight="1">
      <c r="B465" s="28" t="s">
        <v>96</v>
      </c>
      <c r="C465" s="28" t="s">
        <v>433</v>
      </c>
      <c r="D465" s="30">
        <v>0</v>
      </c>
      <c r="E465" s="30">
        <v>0</v>
      </c>
      <c r="F465" s="30">
        <f t="shared" si="7"/>
        <v>0</v>
      </c>
      <c r="G465" s="30">
        <v>0</v>
      </c>
      <c r="H465" s="30"/>
      <c r="I465" s="28" t="s">
        <v>115</v>
      </c>
    </row>
    <row r="466" spans="2:9" s="28" customFormat="1" ht="15" customHeight="1">
      <c r="B466" s="28" t="s">
        <v>96</v>
      </c>
      <c r="C466" s="28" t="s">
        <v>434</v>
      </c>
      <c r="D466" s="30">
        <v>0</v>
      </c>
      <c r="E466" s="30">
        <v>0</v>
      </c>
      <c r="F466" s="30">
        <f t="shared" si="7"/>
        <v>0</v>
      </c>
      <c r="G466" s="30">
        <v>0</v>
      </c>
      <c r="H466" s="30"/>
      <c r="I466" s="28" t="s">
        <v>115</v>
      </c>
    </row>
    <row r="467" spans="2:9" s="28" customFormat="1" ht="15" customHeight="1">
      <c r="D467" s="30"/>
      <c r="E467" s="30"/>
      <c r="F467" s="30"/>
      <c r="G467" s="30"/>
      <c r="H467" s="30"/>
      <c r="I467" s="28" t="str">
        <f>""</f>
        <v/>
      </c>
    </row>
    <row r="468" spans="2:9" s="28" customFormat="1" ht="15" customHeight="1">
      <c r="B468" s="30" t="s">
        <v>97</v>
      </c>
      <c r="C468" s="28" t="s">
        <v>435</v>
      </c>
      <c r="D468" s="30">
        <f>3750+(71-10)*150</f>
        <v>12900</v>
      </c>
      <c r="E468" s="30">
        <v>0</v>
      </c>
      <c r="F468" s="30">
        <f t="shared" si="7"/>
        <v>12900</v>
      </c>
      <c r="G468" s="30">
        <v>150</v>
      </c>
      <c r="H468" s="30" t="s">
        <v>98</v>
      </c>
    </row>
    <row r="469" spans="2:9" s="28" customFormat="1" ht="15" customHeight="1">
      <c r="B469" s="30" t="s">
        <v>97</v>
      </c>
      <c r="C469" s="28" t="s">
        <v>436</v>
      </c>
      <c r="D469" s="30">
        <f>3750+(71-10)*150</f>
        <v>12900</v>
      </c>
      <c r="E469" s="30">
        <v>0</v>
      </c>
      <c r="F469" s="30">
        <f t="shared" si="7"/>
        <v>12900</v>
      </c>
      <c r="G469" s="30">
        <v>150</v>
      </c>
      <c r="H469" s="30" t="s">
        <v>98</v>
      </c>
      <c r="I469" s="28" t="str">
        <f>""</f>
        <v/>
      </c>
    </row>
    <row r="470" spans="2:9" s="28" customFormat="1" ht="15" customHeight="1">
      <c r="B470" s="30" t="s">
        <v>97</v>
      </c>
      <c r="C470" s="28" t="s">
        <v>437</v>
      </c>
      <c r="D470" s="30">
        <f t="shared" ref="D470:D472" si="9">3750+(71-10)*150</f>
        <v>12900</v>
      </c>
      <c r="E470" s="30">
        <v>0</v>
      </c>
      <c r="F470" s="30">
        <f t="shared" si="7"/>
        <v>12900</v>
      </c>
      <c r="G470" s="30">
        <v>150</v>
      </c>
      <c r="H470" s="30" t="s">
        <v>98</v>
      </c>
      <c r="I470" s="28" t="str">
        <f>""</f>
        <v/>
      </c>
    </row>
    <row r="471" spans="2:9" s="28" customFormat="1" ht="15.75" customHeight="1">
      <c r="B471" s="30" t="s">
        <v>97</v>
      </c>
      <c r="C471" s="28" t="s">
        <v>438</v>
      </c>
      <c r="D471" s="30">
        <f t="shared" si="9"/>
        <v>12900</v>
      </c>
      <c r="E471" s="30">
        <v>0</v>
      </c>
      <c r="F471" s="30">
        <f t="shared" si="7"/>
        <v>12900</v>
      </c>
      <c r="G471" s="30">
        <v>150</v>
      </c>
      <c r="H471" s="30" t="s">
        <v>98</v>
      </c>
      <c r="I471" s="28" t="str">
        <f>""</f>
        <v/>
      </c>
    </row>
    <row r="472" spans="2:9" s="28" customFormat="1" ht="15" customHeight="1">
      <c r="B472" s="30" t="s">
        <v>97</v>
      </c>
      <c r="C472" s="28" t="s">
        <v>439</v>
      </c>
      <c r="D472" s="30">
        <f t="shared" si="9"/>
        <v>12900</v>
      </c>
      <c r="E472" s="30">
        <v>0</v>
      </c>
      <c r="F472" s="30">
        <f t="shared" si="7"/>
        <v>12900</v>
      </c>
      <c r="G472" s="30">
        <v>150</v>
      </c>
      <c r="H472" s="30" t="s">
        <v>98</v>
      </c>
      <c r="I472" s="28" t="str">
        <f>""</f>
        <v/>
      </c>
    </row>
    <row r="473" spans="2:9" s="28" customFormat="1" ht="15" customHeight="1">
      <c r="B473" s="30"/>
      <c r="C473" s="30"/>
      <c r="D473" s="30"/>
      <c r="E473" s="30"/>
      <c r="F473" s="30"/>
      <c r="G473" s="30"/>
      <c r="H473" s="30"/>
      <c r="I473" s="28" t="str">
        <f>""</f>
        <v/>
      </c>
    </row>
    <row r="474" spans="2:9" s="28" customFormat="1" ht="15" customHeight="1">
      <c r="B474" s="28" t="s">
        <v>15</v>
      </c>
      <c r="C474" s="28" t="s">
        <v>440</v>
      </c>
      <c r="D474" s="30">
        <v>500</v>
      </c>
      <c r="E474" s="30">
        <v>450</v>
      </c>
      <c r="F474" s="30">
        <f t="shared" si="7"/>
        <v>950</v>
      </c>
      <c r="G474" s="30">
        <v>0</v>
      </c>
      <c r="H474" s="30"/>
      <c r="I474" s="28" t="str">
        <f>""</f>
        <v/>
      </c>
    </row>
    <row r="475" spans="2:9" s="28" customFormat="1" ht="15" customHeight="1">
      <c r="B475" s="28" t="s">
        <v>15</v>
      </c>
      <c r="C475" s="28" t="s">
        <v>441</v>
      </c>
      <c r="D475" s="30">
        <v>500</v>
      </c>
      <c r="E475" s="30">
        <v>450</v>
      </c>
      <c r="F475" s="30">
        <f t="shared" si="7"/>
        <v>950</v>
      </c>
      <c r="G475" s="30">
        <v>0</v>
      </c>
      <c r="I475" s="28" t="str">
        <f>""</f>
        <v/>
      </c>
    </row>
    <row r="476" spans="2:9" s="28" customFormat="1" ht="15" customHeight="1">
      <c r="B476" s="28" t="s">
        <v>15</v>
      </c>
      <c r="C476" s="28" t="s">
        <v>442</v>
      </c>
      <c r="D476" s="30">
        <v>500</v>
      </c>
      <c r="E476" s="30">
        <v>225</v>
      </c>
      <c r="F476" s="30">
        <f t="shared" si="7"/>
        <v>725</v>
      </c>
      <c r="G476" s="30">
        <v>0</v>
      </c>
      <c r="I476" s="28" t="str">
        <f>""</f>
        <v/>
      </c>
    </row>
    <row r="477" spans="2:9" s="28" customFormat="1" ht="15" customHeight="1">
      <c r="B477" s="28" t="s">
        <v>15</v>
      </c>
      <c r="C477" s="28" t="s">
        <v>443</v>
      </c>
      <c r="D477" s="30">
        <v>500</v>
      </c>
      <c r="E477" s="30"/>
      <c r="F477" s="30">
        <f t="shared" si="7"/>
        <v>500</v>
      </c>
      <c r="G477" s="30">
        <v>0</v>
      </c>
      <c r="I477" s="28" t="str">
        <f>""</f>
        <v/>
      </c>
    </row>
    <row r="478" spans="2:9" s="28" customFormat="1" ht="15" customHeight="1">
      <c r="D478" s="30"/>
      <c r="E478" s="30"/>
      <c r="F478" s="30"/>
      <c r="G478" s="30"/>
      <c r="I478" s="28" t="str">
        <f>""</f>
        <v/>
      </c>
    </row>
    <row r="479" spans="2:9" s="28" customFormat="1" ht="15" customHeight="1">
      <c r="B479" s="28" t="s">
        <v>16</v>
      </c>
      <c r="C479" s="28" t="s">
        <v>444</v>
      </c>
      <c r="D479" s="30">
        <v>4200</v>
      </c>
      <c r="E479" s="30">
        <v>225</v>
      </c>
      <c r="F479" s="30">
        <f t="shared" si="7"/>
        <v>4425</v>
      </c>
      <c r="G479" s="30">
        <v>0</v>
      </c>
      <c r="I479" s="28" t="str">
        <f>""</f>
        <v/>
      </c>
    </row>
    <row r="480" spans="2:9" s="28" customFormat="1" ht="15" customHeight="1">
      <c r="B480" s="28" t="s">
        <v>16</v>
      </c>
      <c r="C480" s="28" t="s">
        <v>445</v>
      </c>
      <c r="D480" s="30">
        <v>4200</v>
      </c>
      <c r="E480" s="30">
        <v>0</v>
      </c>
      <c r="F480" s="30">
        <f t="shared" si="7"/>
        <v>4200</v>
      </c>
      <c r="G480" s="30">
        <v>0</v>
      </c>
      <c r="I480" s="28" t="str">
        <f>""</f>
        <v/>
      </c>
    </row>
    <row r="481" spans="2:9" s="28" customFormat="1" ht="15" customHeight="1">
      <c r="B481" s="28" t="s">
        <v>16</v>
      </c>
      <c r="C481" s="28" t="s">
        <v>446</v>
      </c>
      <c r="D481" s="30">
        <v>0</v>
      </c>
      <c r="E481" s="30">
        <v>0</v>
      </c>
      <c r="F481" s="30">
        <f t="shared" si="7"/>
        <v>0</v>
      </c>
      <c r="G481" s="30">
        <v>0</v>
      </c>
      <c r="I481" s="28" t="s">
        <v>115</v>
      </c>
    </row>
    <row r="482" spans="2:9" s="28" customFormat="1" ht="15" customHeight="1">
      <c r="B482" s="28" t="s">
        <v>16</v>
      </c>
      <c r="C482" s="28" t="s">
        <v>447</v>
      </c>
      <c r="D482" s="30">
        <v>0</v>
      </c>
      <c r="E482" s="30">
        <v>0</v>
      </c>
      <c r="F482" s="30">
        <f t="shared" si="7"/>
        <v>0</v>
      </c>
      <c r="G482" s="30">
        <v>0</v>
      </c>
      <c r="I482" s="28" t="s">
        <v>115</v>
      </c>
    </row>
    <row r="483" spans="2:9" s="28" customFormat="1" ht="15" customHeight="1">
      <c r="D483" s="30"/>
      <c r="E483" s="30"/>
      <c r="F483" s="30"/>
      <c r="G483" s="30"/>
      <c r="I483" s="28" t="str">
        <f>""</f>
        <v/>
      </c>
    </row>
    <row r="484" spans="2:9" s="28" customFormat="1" ht="15" customHeight="1">
      <c r="B484" s="28" t="s">
        <v>95</v>
      </c>
      <c r="C484" s="28" t="s">
        <v>448</v>
      </c>
      <c r="D484" s="30">
        <v>4200</v>
      </c>
      <c r="E484" s="30">
        <v>225</v>
      </c>
      <c r="F484" s="30">
        <f t="shared" si="7"/>
        <v>4425</v>
      </c>
      <c r="G484" s="30">
        <v>150</v>
      </c>
      <c r="H484" s="30" t="s">
        <v>23</v>
      </c>
      <c r="I484" s="28" t="str">
        <f>""</f>
        <v/>
      </c>
    </row>
    <row r="485" spans="2:9" s="28" customFormat="1" ht="15" customHeight="1">
      <c r="B485" s="28" t="s">
        <v>95</v>
      </c>
      <c r="C485" s="28" t="s">
        <v>449</v>
      </c>
      <c r="D485" s="30">
        <v>4200</v>
      </c>
      <c r="E485" s="30">
        <v>0</v>
      </c>
      <c r="F485" s="30">
        <f t="shared" si="7"/>
        <v>4200</v>
      </c>
      <c r="G485" s="30">
        <v>150</v>
      </c>
      <c r="H485" s="30" t="s">
        <v>23</v>
      </c>
      <c r="I485" s="28" t="str">
        <f>""</f>
        <v/>
      </c>
    </row>
    <row r="486" spans="2:9" s="28" customFormat="1" ht="15" customHeight="1">
      <c r="B486" s="28" t="s">
        <v>95</v>
      </c>
      <c r="C486" s="28" t="s">
        <v>450</v>
      </c>
      <c r="D486" s="30">
        <v>0</v>
      </c>
      <c r="E486" s="30">
        <v>0</v>
      </c>
      <c r="F486" s="30">
        <f t="shared" si="7"/>
        <v>0</v>
      </c>
      <c r="G486" s="30">
        <v>0</v>
      </c>
      <c r="H486" s="30" t="s">
        <v>23</v>
      </c>
      <c r="I486" s="28" t="s">
        <v>115</v>
      </c>
    </row>
    <row r="487" spans="2:9" s="28" customFormat="1" ht="15" customHeight="1">
      <c r="B487" s="28" t="s">
        <v>95</v>
      </c>
      <c r="C487" s="28" t="s">
        <v>451</v>
      </c>
      <c r="D487" s="30">
        <v>0</v>
      </c>
      <c r="E487" s="30">
        <v>0</v>
      </c>
      <c r="F487" s="30">
        <f t="shared" si="7"/>
        <v>0</v>
      </c>
      <c r="G487" s="30">
        <v>0</v>
      </c>
      <c r="H487" s="30" t="s">
        <v>23</v>
      </c>
      <c r="I487" s="28" t="s">
        <v>115</v>
      </c>
    </row>
    <row r="488" spans="2:9" s="28" customFormat="1" ht="15" customHeight="1">
      <c r="D488" s="30"/>
      <c r="E488" s="30"/>
      <c r="F488" s="30"/>
      <c r="G488" s="30"/>
      <c r="H488" s="30"/>
      <c r="I488" s="28" t="str">
        <f>""</f>
        <v/>
      </c>
    </row>
    <row r="489" spans="2:9" s="28" customFormat="1" ht="15" customHeight="1">
      <c r="B489" s="30" t="s">
        <v>94</v>
      </c>
      <c r="C489" s="28" t="s">
        <v>452</v>
      </c>
      <c r="D489" s="30">
        <f>3750+(71-10)*150</f>
        <v>12900</v>
      </c>
      <c r="E489" s="30">
        <v>0</v>
      </c>
      <c r="F489" s="30">
        <f t="shared" si="7"/>
        <v>12900</v>
      </c>
      <c r="G489" s="30">
        <v>150</v>
      </c>
      <c r="H489" s="30" t="s">
        <v>98</v>
      </c>
    </row>
    <row r="490" spans="2:9" s="28" customFormat="1" ht="15" customHeight="1">
      <c r="B490" s="30" t="s">
        <v>94</v>
      </c>
      <c r="C490" s="28" t="s">
        <v>453</v>
      </c>
      <c r="D490" s="30">
        <f>3750+(71-10)*150</f>
        <v>12900</v>
      </c>
      <c r="E490" s="30">
        <v>0</v>
      </c>
      <c r="F490" s="30">
        <f t="shared" si="7"/>
        <v>12900</v>
      </c>
      <c r="G490" s="30">
        <v>150</v>
      </c>
      <c r="H490" s="30" t="s">
        <v>98</v>
      </c>
      <c r="I490" s="28" t="str">
        <f>""</f>
        <v/>
      </c>
    </row>
    <row r="491" spans="2:9" s="28" customFormat="1" ht="15" customHeight="1">
      <c r="B491" s="30" t="s">
        <v>94</v>
      </c>
      <c r="C491" s="28" t="s">
        <v>454</v>
      </c>
      <c r="D491" s="30">
        <f t="shared" ref="D491:D493" si="10">3750+(71-10)*150</f>
        <v>12900</v>
      </c>
      <c r="E491" s="30">
        <v>0</v>
      </c>
      <c r="F491" s="30">
        <f t="shared" si="7"/>
        <v>12900</v>
      </c>
      <c r="G491" s="30">
        <v>150</v>
      </c>
      <c r="H491" s="30" t="s">
        <v>98</v>
      </c>
      <c r="I491" s="28" t="str">
        <f>""</f>
        <v/>
      </c>
    </row>
    <row r="492" spans="2:9" s="28" customFormat="1" ht="15" customHeight="1">
      <c r="B492" s="30" t="s">
        <v>94</v>
      </c>
      <c r="C492" s="28" t="s">
        <v>455</v>
      </c>
      <c r="D492" s="30">
        <f t="shared" si="10"/>
        <v>12900</v>
      </c>
      <c r="E492" s="30">
        <v>0</v>
      </c>
      <c r="F492" s="30">
        <f t="shared" si="7"/>
        <v>12900</v>
      </c>
      <c r="G492" s="30">
        <v>150</v>
      </c>
      <c r="H492" s="30" t="s">
        <v>98</v>
      </c>
      <c r="I492" s="28" t="str">
        <f>""</f>
        <v/>
      </c>
    </row>
    <row r="493" spans="2:9" s="28" customFormat="1" ht="15" customHeight="1">
      <c r="B493" s="30" t="s">
        <v>94</v>
      </c>
      <c r="C493" s="28" t="s">
        <v>456</v>
      </c>
      <c r="D493" s="30">
        <f t="shared" si="10"/>
        <v>12900</v>
      </c>
      <c r="E493" s="30">
        <v>0</v>
      </c>
      <c r="F493" s="30">
        <f t="shared" si="7"/>
        <v>12900</v>
      </c>
      <c r="G493" s="30">
        <v>150</v>
      </c>
      <c r="H493" s="30" t="s">
        <v>98</v>
      </c>
      <c r="I493" s="28" t="str">
        <f>""</f>
        <v/>
      </c>
    </row>
    <row r="494" spans="2:9" s="28" customFormat="1" ht="15" customHeight="1">
      <c r="B494" s="30"/>
      <c r="D494" s="30"/>
      <c r="E494" s="30"/>
      <c r="F494" s="30"/>
      <c r="G494" s="30"/>
      <c r="H494" s="30"/>
    </row>
    <row r="495" spans="2:9" s="28" customFormat="1" ht="15" customHeight="1">
      <c r="B495" s="30"/>
      <c r="D495" s="30"/>
      <c r="E495" s="30"/>
      <c r="F495" s="30"/>
      <c r="G495" s="30"/>
      <c r="H495" s="30"/>
    </row>
    <row r="496" spans="2:9" s="28" customFormat="1" ht="15" customHeight="1">
      <c r="B496" s="24" t="s">
        <v>222</v>
      </c>
      <c r="C496" s="25" t="s">
        <v>223</v>
      </c>
      <c r="D496" s="26" t="s">
        <v>88</v>
      </c>
      <c r="E496" s="27" t="s">
        <v>89</v>
      </c>
      <c r="F496" s="27" t="s">
        <v>90</v>
      </c>
      <c r="G496" s="27" t="s">
        <v>91</v>
      </c>
      <c r="I496" s="28" t="str">
        <f>""</f>
        <v/>
      </c>
    </row>
    <row r="497" spans="2:9" s="28" customFormat="1" ht="15" customHeight="1">
      <c r="B497" s="28" t="s">
        <v>30</v>
      </c>
      <c r="C497" s="28" t="s">
        <v>30</v>
      </c>
      <c r="D497" s="29">
        <v>0</v>
      </c>
      <c r="E497" s="27">
        <v>0</v>
      </c>
      <c r="F497" s="27">
        <v>0</v>
      </c>
      <c r="G497" s="27">
        <v>0</v>
      </c>
      <c r="I497" s="28" t="str">
        <f>""</f>
        <v/>
      </c>
    </row>
    <row r="498" spans="2:9" s="28" customFormat="1" ht="15" customHeight="1">
      <c r="D498" s="29"/>
      <c r="E498" s="27"/>
      <c r="F498" s="27"/>
      <c r="G498" s="27"/>
      <c r="I498" s="28" t="str">
        <f>""</f>
        <v/>
      </c>
    </row>
    <row r="499" spans="2:9" s="28" customFormat="1" ht="15" customHeight="1">
      <c r="B499" s="28" t="s">
        <v>92</v>
      </c>
      <c r="C499" s="28" t="s">
        <v>202</v>
      </c>
      <c r="D499" s="30">
        <v>2100</v>
      </c>
      <c r="E499" s="30">
        <v>225</v>
      </c>
      <c r="F499" s="30">
        <f t="shared" ref="F499:F502" si="11">D499+E499</f>
        <v>2325</v>
      </c>
      <c r="G499" s="30">
        <v>150</v>
      </c>
      <c r="H499" s="28" t="s">
        <v>24</v>
      </c>
      <c r="I499" s="28" t="str">
        <f>""</f>
        <v/>
      </c>
    </row>
    <row r="500" spans="2:9" s="28" customFormat="1" ht="15" customHeight="1">
      <c r="B500" s="28" t="s">
        <v>92</v>
      </c>
      <c r="C500" s="28" t="s">
        <v>203</v>
      </c>
      <c r="D500" s="30">
        <v>2100</v>
      </c>
      <c r="E500" s="30">
        <v>0</v>
      </c>
      <c r="F500" s="30">
        <f t="shared" si="11"/>
        <v>2100</v>
      </c>
      <c r="G500" s="30">
        <v>150</v>
      </c>
      <c r="H500" s="28" t="s">
        <v>24</v>
      </c>
      <c r="I500" s="28" t="str">
        <f>""</f>
        <v/>
      </c>
    </row>
    <row r="501" spans="2:9" s="28" customFormat="1" ht="15" customHeight="1">
      <c r="B501" s="28" t="s">
        <v>92</v>
      </c>
      <c r="C501" s="28" t="s">
        <v>204</v>
      </c>
      <c r="D501" s="30">
        <v>0</v>
      </c>
      <c r="E501" s="30">
        <v>0</v>
      </c>
      <c r="F501" s="30">
        <f t="shared" si="11"/>
        <v>0</v>
      </c>
      <c r="G501" s="30">
        <v>0</v>
      </c>
      <c r="I501" s="28" t="s">
        <v>115</v>
      </c>
    </row>
    <row r="502" spans="2:9" s="28" customFormat="1" ht="15" customHeight="1">
      <c r="B502" s="28" t="s">
        <v>92</v>
      </c>
      <c r="C502" s="28" t="s">
        <v>205</v>
      </c>
      <c r="D502" s="30">
        <v>0</v>
      </c>
      <c r="E502" s="30">
        <v>0</v>
      </c>
      <c r="F502" s="30">
        <f t="shared" si="11"/>
        <v>0</v>
      </c>
      <c r="G502" s="30">
        <v>0</v>
      </c>
      <c r="I502" s="28" t="s">
        <v>115</v>
      </c>
    </row>
    <row r="503" spans="2:9" s="28" customFormat="1" ht="15" customHeight="1">
      <c r="D503" s="30"/>
      <c r="E503" s="30"/>
      <c r="F503" s="30"/>
      <c r="G503" s="30"/>
      <c r="I503" s="28" t="str">
        <f>""</f>
        <v/>
      </c>
    </row>
    <row r="504" spans="2:9" s="28" customFormat="1" ht="15" customHeight="1">
      <c r="B504" s="30"/>
      <c r="D504" s="30"/>
      <c r="E504" s="30"/>
      <c r="F504" s="30"/>
      <c r="G504" s="30"/>
      <c r="H504" s="30"/>
    </row>
    <row r="505" spans="2:9" s="28" customFormat="1" ht="15" customHeight="1">
      <c r="B505" s="24" t="s">
        <v>153</v>
      </c>
      <c r="C505" s="25" t="s">
        <v>224</v>
      </c>
      <c r="D505" s="26" t="s">
        <v>154</v>
      </c>
      <c r="E505" s="27" t="s">
        <v>155</v>
      </c>
      <c r="F505" s="27" t="s">
        <v>156</v>
      </c>
      <c r="G505" s="27" t="s">
        <v>157</v>
      </c>
      <c r="I505" s="28" t="str">
        <f>""</f>
        <v/>
      </c>
    </row>
    <row r="506" spans="2:9" s="28" customFormat="1" ht="15" customHeight="1">
      <c r="B506" s="28" t="s">
        <v>30</v>
      </c>
      <c r="C506" s="28" t="s">
        <v>30</v>
      </c>
      <c r="D506" s="29">
        <v>0</v>
      </c>
      <c r="E506" s="27">
        <v>0</v>
      </c>
      <c r="F506" s="27">
        <v>0</v>
      </c>
      <c r="G506" s="27">
        <v>0</v>
      </c>
      <c r="I506" s="28" t="str">
        <f>""</f>
        <v/>
      </c>
    </row>
    <row r="507" spans="2:9" s="28" customFormat="1" ht="15" customHeight="1">
      <c r="D507" s="29"/>
      <c r="E507" s="27"/>
      <c r="F507" s="27"/>
      <c r="G507" s="27"/>
      <c r="I507" s="28" t="str">
        <f>""</f>
        <v/>
      </c>
    </row>
    <row r="508" spans="2:9" s="28" customFormat="1" ht="15" customHeight="1">
      <c r="B508" s="28" t="s">
        <v>12</v>
      </c>
      <c r="C508" s="28" t="s">
        <v>159</v>
      </c>
      <c r="D508" s="29">
        <v>500</v>
      </c>
      <c r="E508" s="29">
        <v>450</v>
      </c>
      <c r="F508" s="30">
        <f>D508+E508</f>
        <v>950</v>
      </c>
      <c r="G508" s="29">
        <v>0</v>
      </c>
      <c r="I508" s="28" t="str">
        <f>""</f>
        <v/>
      </c>
    </row>
    <row r="509" spans="2:9" s="28" customFormat="1" ht="15" customHeight="1">
      <c r="B509" s="28" t="s">
        <v>12</v>
      </c>
      <c r="C509" s="28" t="s">
        <v>160</v>
      </c>
      <c r="D509" s="30">
        <v>500</v>
      </c>
      <c r="E509" s="30">
        <v>450</v>
      </c>
      <c r="F509" s="30">
        <f>D509+E509</f>
        <v>950</v>
      </c>
      <c r="G509" s="30">
        <v>0</v>
      </c>
      <c r="I509" s="28" t="str">
        <f>""</f>
        <v/>
      </c>
    </row>
    <row r="510" spans="2:9" s="28" customFormat="1" ht="15" customHeight="1">
      <c r="B510" s="28" t="s">
        <v>12</v>
      </c>
      <c r="C510" s="28" t="s">
        <v>161</v>
      </c>
      <c r="D510" s="30">
        <v>500</v>
      </c>
      <c r="E510" s="30">
        <v>225</v>
      </c>
      <c r="F510" s="30">
        <f t="shared" ref="F510:F511" si="12">D510+E510</f>
        <v>725</v>
      </c>
      <c r="G510" s="30">
        <v>0</v>
      </c>
      <c r="I510" s="28" t="str">
        <f>""</f>
        <v/>
      </c>
    </row>
    <row r="511" spans="2:9" s="28" customFormat="1" ht="15" customHeight="1">
      <c r="B511" s="28" t="s">
        <v>12</v>
      </c>
      <c r="C511" s="28" t="s">
        <v>162</v>
      </c>
      <c r="D511" s="30">
        <v>500</v>
      </c>
      <c r="E511" s="30">
        <v>0</v>
      </c>
      <c r="F511" s="30">
        <f t="shared" si="12"/>
        <v>500</v>
      </c>
      <c r="G511" s="30">
        <v>0</v>
      </c>
      <c r="I511" s="28" t="str">
        <f>""</f>
        <v/>
      </c>
    </row>
    <row r="512" spans="2:9" s="28" customFormat="1" ht="15" customHeight="1">
      <c r="D512" s="30"/>
      <c r="E512" s="30"/>
      <c r="F512" s="30"/>
      <c r="G512" s="30"/>
      <c r="I512" s="28" t="str">
        <f>""</f>
        <v/>
      </c>
    </row>
    <row r="513" spans="2:9" s="28" customFormat="1" ht="15" customHeight="1">
      <c r="B513" s="28" t="s">
        <v>92</v>
      </c>
      <c r="C513" s="28" t="s">
        <v>206</v>
      </c>
      <c r="D513" s="30">
        <v>1250</v>
      </c>
      <c r="E513" s="30">
        <v>200</v>
      </c>
      <c r="F513" s="30">
        <f t="shared" ref="F513:F516" si="13">D513+E513</f>
        <v>1450</v>
      </c>
      <c r="G513" s="30">
        <v>225</v>
      </c>
      <c r="H513" s="28" t="s">
        <v>24</v>
      </c>
      <c r="I513" s="28" t="str">
        <f>""</f>
        <v/>
      </c>
    </row>
    <row r="514" spans="2:9" s="28" customFormat="1" ht="15" customHeight="1">
      <c r="B514" s="28" t="s">
        <v>92</v>
      </c>
      <c r="C514" s="28" t="s">
        <v>207</v>
      </c>
      <c r="D514" s="30">
        <v>1250</v>
      </c>
      <c r="E514" s="30">
        <v>0</v>
      </c>
      <c r="F514" s="30">
        <f t="shared" si="13"/>
        <v>1250</v>
      </c>
      <c r="G514" s="30">
        <v>225</v>
      </c>
      <c r="H514" s="28" t="s">
        <v>24</v>
      </c>
      <c r="I514" s="28" t="str">
        <f>""</f>
        <v/>
      </c>
    </row>
    <row r="515" spans="2:9" s="28" customFormat="1" ht="15" customHeight="1">
      <c r="B515" s="28" t="s">
        <v>92</v>
      </c>
      <c r="C515" s="28" t="s">
        <v>208</v>
      </c>
      <c r="D515" s="30">
        <v>0</v>
      </c>
      <c r="E515" s="30">
        <v>0</v>
      </c>
      <c r="F515" s="30">
        <f t="shared" si="13"/>
        <v>0</v>
      </c>
      <c r="G515" s="30">
        <v>0</v>
      </c>
      <c r="I515" s="28" t="s">
        <v>115</v>
      </c>
    </row>
    <row r="516" spans="2:9" s="28" customFormat="1" ht="15" customHeight="1">
      <c r="B516" s="28" t="s">
        <v>92</v>
      </c>
      <c r="C516" s="28" t="s">
        <v>209</v>
      </c>
      <c r="D516" s="30">
        <v>0</v>
      </c>
      <c r="E516" s="30">
        <v>0</v>
      </c>
      <c r="F516" s="30">
        <f t="shared" si="13"/>
        <v>0</v>
      </c>
      <c r="G516" s="30">
        <v>0</v>
      </c>
      <c r="I516" s="28" t="s">
        <v>115</v>
      </c>
    </row>
    <row r="517" spans="2:9" s="28" customFormat="1" ht="15" customHeight="1">
      <c r="D517" s="30"/>
      <c r="E517" s="30"/>
      <c r="F517" s="30"/>
      <c r="G517" s="30"/>
      <c r="I517" s="28" t="str">
        <f>""</f>
        <v/>
      </c>
    </row>
    <row r="518" spans="2:9" s="28" customFormat="1" ht="15" customHeight="1">
      <c r="B518" s="30" t="s">
        <v>93</v>
      </c>
      <c r="C518" s="28" t="s">
        <v>163</v>
      </c>
      <c r="D518" s="30">
        <f>1650+(71-1)*150</f>
        <v>12150</v>
      </c>
      <c r="E518" s="30">
        <v>0</v>
      </c>
      <c r="F518" s="30">
        <f t="shared" ref="F518:F522" si="14">D518+E518</f>
        <v>12150</v>
      </c>
      <c r="G518" s="30">
        <v>150</v>
      </c>
      <c r="H518" s="30" t="s">
        <v>98</v>
      </c>
    </row>
    <row r="519" spans="2:9" s="28" customFormat="1" ht="15" customHeight="1">
      <c r="B519" s="30" t="s">
        <v>93</v>
      </c>
      <c r="C519" s="28" t="s">
        <v>164</v>
      </c>
      <c r="D519" s="30">
        <f>1650+(71-1)*150</f>
        <v>12150</v>
      </c>
      <c r="E519" s="30">
        <v>0</v>
      </c>
      <c r="F519" s="30">
        <f t="shared" si="14"/>
        <v>12150</v>
      </c>
      <c r="G519" s="30">
        <v>150</v>
      </c>
      <c r="H519" s="30" t="s">
        <v>98</v>
      </c>
      <c r="I519" s="28" t="str">
        <f>""</f>
        <v/>
      </c>
    </row>
    <row r="520" spans="2:9" s="28" customFormat="1" ht="15" customHeight="1">
      <c r="B520" s="30" t="s">
        <v>93</v>
      </c>
      <c r="C520" s="28" t="s">
        <v>165</v>
      </c>
      <c r="D520" s="30">
        <f t="shared" ref="D520:D522" si="15">1650+(71-1)*150</f>
        <v>12150</v>
      </c>
      <c r="E520" s="30">
        <v>0</v>
      </c>
      <c r="F520" s="30">
        <f t="shared" si="14"/>
        <v>12150</v>
      </c>
      <c r="G520" s="30">
        <v>150</v>
      </c>
      <c r="H520" s="30" t="s">
        <v>98</v>
      </c>
      <c r="I520" s="28" t="str">
        <f>""</f>
        <v/>
      </c>
    </row>
    <row r="521" spans="2:9" s="28" customFormat="1" ht="15" customHeight="1">
      <c r="B521" s="30" t="s">
        <v>93</v>
      </c>
      <c r="C521" s="28" t="s">
        <v>166</v>
      </c>
      <c r="D521" s="30">
        <f t="shared" si="15"/>
        <v>12150</v>
      </c>
      <c r="E521" s="30">
        <v>0</v>
      </c>
      <c r="F521" s="30">
        <f t="shared" si="14"/>
        <v>12150</v>
      </c>
      <c r="G521" s="30">
        <v>150</v>
      </c>
      <c r="H521" s="30" t="s">
        <v>98</v>
      </c>
      <c r="I521" s="28" t="str">
        <f>""</f>
        <v/>
      </c>
    </row>
    <row r="522" spans="2:9" s="28" customFormat="1" ht="15" customHeight="1">
      <c r="B522" s="30" t="s">
        <v>93</v>
      </c>
      <c r="C522" s="28" t="s">
        <v>167</v>
      </c>
      <c r="D522" s="30">
        <f t="shared" si="15"/>
        <v>12150</v>
      </c>
      <c r="E522" s="30">
        <v>0</v>
      </c>
      <c r="F522" s="30">
        <f t="shared" si="14"/>
        <v>12150</v>
      </c>
      <c r="G522" s="30">
        <v>150</v>
      </c>
      <c r="H522" s="30" t="s">
        <v>98</v>
      </c>
      <c r="I522" s="28" t="str">
        <f>""</f>
        <v/>
      </c>
    </row>
    <row r="523" spans="2:9" s="28" customFormat="1" ht="15" customHeight="1">
      <c r="B523" s="30"/>
      <c r="D523" s="30"/>
      <c r="E523" s="30"/>
      <c r="F523" s="30"/>
      <c r="G523" s="30"/>
      <c r="H523" s="30"/>
      <c r="I523" s="28" t="str">
        <f>""</f>
        <v/>
      </c>
    </row>
    <row r="524" spans="2:9" s="28" customFormat="1" ht="15" customHeight="1">
      <c r="B524" s="28" t="s">
        <v>13</v>
      </c>
      <c r="C524" s="28" t="s">
        <v>168</v>
      </c>
      <c r="D524" s="30">
        <v>500</v>
      </c>
      <c r="E524" s="30">
        <v>450</v>
      </c>
      <c r="F524" s="30">
        <f t="shared" ref="F524:F527" si="16">D524+E524</f>
        <v>950</v>
      </c>
      <c r="G524" s="30">
        <v>0</v>
      </c>
      <c r="H524" s="30"/>
      <c r="I524" s="28" t="str">
        <f>""</f>
        <v/>
      </c>
    </row>
    <row r="525" spans="2:9" s="28" customFormat="1" ht="15" customHeight="1">
      <c r="B525" s="28" t="s">
        <v>13</v>
      </c>
      <c r="C525" s="28" t="s">
        <v>169</v>
      </c>
      <c r="D525" s="30">
        <v>500</v>
      </c>
      <c r="E525" s="30">
        <v>450</v>
      </c>
      <c r="F525" s="30">
        <f t="shared" si="16"/>
        <v>950</v>
      </c>
      <c r="G525" s="30">
        <v>0</v>
      </c>
      <c r="I525" s="28" t="str">
        <f>""</f>
        <v/>
      </c>
    </row>
    <row r="526" spans="2:9" s="28" customFormat="1" ht="15" customHeight="1">
      <c r="B526" s="28" t="s">
        <v>13</v>
      </c>
      <c r="C526" s="28" t="s">
        <v>170</v>
      </c>
      <c r="D526" s="30">
        <v>500</v>
      </c>
      <c r="E526" s="30">
        <v>225</v>
      </c>
      <c r="F526" s="30">
        <f t="shared" si="16"/>
        <v>725</v>
      </c>
      <c r="G526" s="30">
        <v>0</v>
      </c>
      <c r="I526" s="28" t="str">
        <f>""</f>
        <v/>
      </c>
    </row>
    <row r="527" spans="2:9" s="28" customFormat="1" ht="15" customHeight="1">
      <c r="B527" s="28" t="s">
        <v>13</v>
      </c>
      <c r="C527" s="28" t="s">
        <v>171</v>
      </c>
      <c r="D527" s="30">
        <v>500</v>
      </c>
      <c r="E527" s="30">
        <v>0</v>
      </c>
      <c r="F527" s="30">
        <f t="shared" si="16"/>
        <v>500</v>
      </c>
      <c r="G527" s="30">
        <v>0</v>
      </c>
      <c r="I527" s="28" t="str">
        <f>""</f>
        <v/>
      </c>
    </row>
    <row r="528" spans="2:9" s="28" customFormat="1" ht="15" customHeight="1">
      <c r="D528" s="30"/>
      <c r="E528" s="30"/>
      <c r="F528" s="30"/>
      <c r="G528" s="30"/>
      <c r="I528" s="28" t="str">
        <f>""</f>
        <v/>
      </c>
    </row>
    <row r="529" spans="2:9" s="28" customFormat="1" ht="15" customHeight="1">
      <c r="B529" s="28" t="s">
        <v>14</v>
      </c>
      <c r="C529" s="28" t="s">
        <v>172</v>
      </c>
      <c r="D529" s="30">
        <v>4200</v>
      </c>
      <c r="E529" s="30">
        <v>225</v>
      </c>
      <c r="F529" s="30">
        <f t="shared" ref="F529:F532" si="17">D529+E529</f>
        <v>4425</v>
      </c>
      <c r="G529" s="30">
        <v>0</v>
      </c>
      <c r="I529" s="28" t="str">
        <f>""</f>
        <v/>
      </c>
    </row>
    <row r="530" spans="2:9" s="28" customFormat="1" ht="15" customHeight="1">
      <c r="B530" s="28" t="s">
        <v>14</v>
      </c>
      <c r="C530" s="28" t="s">
        <v>173</v>
      </c>
      <c r="D530" s="30">
        <v>4200</v>
      </c>
      <c r="E530" s="30">
        <v>0</v>
      </c>
      <c r="F530" s="30">
        <f t="shared" si="17"/>
        <v>4200</v>
      </c>
      <c r="G530" s="30">
        <v>0</v>
      </c>
      <c r="I530" s="28" t="str">
        <f>""</f>
        <v/>
      </c>
    </row>
    <row r="531" spans="2:9" s="28" customFormat="1" ht="15" customHeight="1">
      <c r="B531" s="28" t="s">
        <v>14</v>
      </c>
      <c r="C531" s="28" t="s">
        <v>174</v>
      </c>
      <c r="D531" s="30">
        <v>0</v>
      </c>
      <c r="E531" s="30">
        <v>0</v>
      </c>
      <c r="F531" s="30">
        <f t="shared" si="17"/>
        <v>0</v>
      </c>
      <c r="G531" s="30">
        <v>0</v>
      </c>
      <c r="I531" s="28" t="s">
        <v>115</v>
      </c>
    </row>
    <row r="532" spans="2:9" s="28" customFormat="1" ht="15" customHeight="1">
      <c r="B532" s="28" t="s">
        <v>14</v>
      </c>
      <c r="C532" s="28" t="s">
        <v>175</v>
      </c>
      <c r="D532" s="30">
        <v>0</v>
      </c>
      <c r="E532" s="30">
        <v>0</v>
      </c>
      <c r="F532" s="30">
        <f t="shared" si="17"/>
        <v>0</v>
      </c>
      <c r="G532" s="30">
        <v>0</v>
      </c>
      <c r="I532" s="28" t="s">
        <v>115</v>
      </c>
    </row>
    <row r="533" spans="2:9" s="28" customFormat="1" ht="15" customHeight="1">
      <c r="D533" s="30"/>
      <c r="E533" s="30"/>
      <c r="F533" s="30"/>
      <c r="G533" s="30"/>
      <c r="I533" s="28" t="str">
        <f>""</f>
        <v/>
      </c>
    </row>
    <row r="534" spans="2:9" s="28" customFormat="1" ht="15" customHeight="1">
      <c r="B534" s="28" t="s">
        <v>96</v>
      </c>
      <c r="C534" s="28" t="s">
        <v>176</v>
      </c>
      <c r="D534" s="30">
        <v>4200</v>
      </c>
      <c r="E534" s="30">
        <v>225</v>
      </c>
      <c r="F534" s="30">
        <f t="shared" ref="F534:F537" si="18">D534+E534</f>
        <v>4425</v>
      </c>
      <c r="G534" s="30">
        <v>150</v>
      </c>
      <c r="H534" s="30" t="s">
        <v>23</v>
      </c>
      <c r="I534" s="28" t="str">
        <f>""</f>
        <v/>
      </c>
    </row>
    <row r="535" spans="2:9" s="28" customFormat="1" ht="15" customHeight="1">
      <c r="B535" s="28" t="s">
        <v>96</v>
      </c>
      <c r="C535" s="28" t="s">
        <v>177</v>
      </c>
      <c r="D535" s="30">
        <v>4200</v>
      </c>
      <c r="E535" s="30">
        <v>0</v>
      </c>
      <c r="F535" s="30">
        <f t="shared" si="18"/>
        <v>4200</v>
      </c>
      <c r="G535" s="30">
        <v>150</v>
      </c>
      <c r="H535" s="30" t="s">
        <v>23</v>
      </c>
      <c r="I535" s="28" t="str">
        <f>""</f>
        <v/>
      </c>
    </row>
    <row r="536" spans="2:9" s="28" customFormat="1" ht="15" customHeight="1">
      <c r="B536" s="28" t="s">
        <v>96</v>
      </c>
      <c r="C536" s="28" t="s">
        <v>178</v>
      </c>
      <c r="D536" s="30">
        <v>0</v>
      </c>
      <c r="E536" s="30">
        <v>0</v>
      </c>
      <c r="F536" s="30">
        <f t="shared" si="18"/>
        <v>0</v>
      </c>
      <c r="G536" s="30">
        <v>0</v>
      </c>
      <c r="H536" s="30"/>
      <c r="I536" s="28" t="s">
        <v>115</v>
      </c>
    </row>
    <row r="537" spans="2:9" s="28" customFormat="1" ht="15" customHeight="1">
      <c r="B537" s="28" t="s">
        <v>96</v>
      </c>
      <c r="C537" s="28" t="s">
        <v>179</v>
      </c>
      <c r="D537" s="30">
        <v>0</v>
      </c>
      <c r="E537" s="30">
        <v>0</v>
      </c>
      <c r="F537" s="30">
        <f t="shared" si="18"/>
        <v>0</v>
      </c>
      <c r="G537" s="30">
        <v>0</v>
      </c>
      <c r="H537" s="30"/>
      <c r="I537" s="28" t="s">
        <v>115</v>
      </c>
    </row>
    <row r="538" spans="2:9" s="28" customFormat="1" ht="15" customHeight="1">
      <c r="D538" s="30"/>
      <c r="E538" s="30"/>
      <c r="F538" s="30"/>
      <c r="G538" s="30"/>
      <c r="H538" s="30"/>
      <c r="I538" s="28" t="str">
        <f>""</f>
        <v/>
      </c>
    </row>
    <row r="539" spans="2:9" s="28" customFormat="1" ht="15" customHeight="1">
      <c r="B539" s="30" t="s">
        <v>97</v>
      </c>
      <c r="C539" s="28" t="s">
        <v>180</v>
      </c>
      <c r="D539" s="30">
        <f>3750+(71-10)*150</f>
        <v>12900</v>
      </c>
      <c r="E539" s="30">
        <v>0</v>
      </c>
      <c r="F539" s="30">
        <f t="shared" ref="F539:F543" si="19">D539+E539</f>
        <v>12900</v>
      </c>
      <c r="G539" s="30">
        <v>150</v>
      </c>
      <c r="H539" s="30" t="s">
        <v>98</v>
      </c>
    </row>
    <row r="540" spans="2:9" s="28" customFormat="1" ht="15" customHeight="1">
      <c r="B540" s="30" t="s">
        <v>97</v>
      </c>
      <c r="C540" s="28" t="s">
        <v>181</v>
      </c>
      <c r="D540" s="30">
        <f>3750+(71-10)*150</f>
        <v>12900</v>
      </c>
      <c r="E540" s="30">
        <v>0</v>
      </c>
      <c r="F540" s="30">
        <f t="shared" si="19"/>
        <v>12900</v>
      </c>
      <c r="G540" s="30">
        <v>150</v>
      </c>
      <c r="H540" s="30" t="s">
        <v>98</v>
      </c>
      <c r="I540" s="28" t="str">
        <f>""</f>
        <v/>
      </c>
    </row>
    <row r="541" spans="2:9" s="28" customFormat="1" ht="15" customHeight="1">
      <c r="B541" s="30" t="s">
        <v>97</v>
      </c>
      <c r="C541" s="28" t="s">
        <v>182</v>
      </c>
      <c r="D541" s="30">
        <f t="shared" ref="D541:D543" si="20">3750+(71-10)*150</f>
        <v>12900</v>
      </c>
      <c r="E541" s="30">
        <v>0</v>
      </c>
      <c r="F541" s="30">
        <f t="shared" si="19"/>
        <v>12900</v>
      </c>
      <c r="G541" s="30">
        <v>150</v>
      </c>
      <c r="H541" s="30" t="s">
        <v>98</v>
      </c>
      <c r="I541" s="28" t="str">
        <f>""</f>
        <v/>
      </c>
    </row>
    <row r="542" spans="2:9" s="28" customFormat="1" ht="15" customHeight="1">
      <c r="B542" s="30" t="s">
        <v>97</v>
      </c>
      <c r="C542" s="28" t="s">
        <v>183</v>
      </c>
      <c r="D542" s="30">
        <f t="shared" si="20"/>
        <v>12900</v>
      </c>
      <c r="E542" s="30">
        <v>0</v>
      </c>
      <c r="F542" s="30">
        <f t="shared" si="19"/>
        <v>12900</v>
      </c>
      <c r="G542" s="30">
        <v>150</v>
      </c>
      <c r="H542" s="30" t="s">
        <v>98</v>
      </c>
      <c r="I542" s="28" t="str">
        <f>""</f>
        <v/>
      </c>
    </row>
    <row r="543" spans="2:9" s="28" customFormat="1" ht="15" customHeight="1">
      <c r="B543" s="30" t="s">
        <v>97</v>
      </c>
      <c r="C543" s="28" t="s">
        <v>184</v>
      </c>
      <c r="D543" s="30">
        <f t="shared" si="20"/>
        <v>12900</v>
      </c>
      <c r="E543" s="30">
        <v>0</v>
      </c>
      <c r="F543" s="30">
        <f t="shared" si="19"/>
        <v>12900</v>
      </c>
      <c r="G543" s="30">
        <v>150</v>
      </c>
      <c r="H543" s="30" t="s">
        <v>98</v>
      </c>
      <c r="I543" s="28" t="str">
        <f>""</f>
        <v/>
      </c>
    </row>
    <row r="544" spans="2:9" s="28" customFormat="1" ht="15" customHeight="1">
      <c r="B544" s="30"/>
      <c r="C544" s="30"/>
      <c r="D544" s="30"/>
      <c r="E544" s="30"/>
      <c r="F544" s="30"/>
      <c r="G544" s="30"/>
      <c r="H544" s="30"/>
      <c r="I544" s="28" t="str">
        <f>""</f>
        <v/>
      </c>
    </row>
    <row r="545" spans="2:9" s="28" customFormat="1" ht="15" customHeight="1">
      <c r="B545" s="28" t="s">
        <v>15</v>
      </c>
      <c r="C545" s="28" t="s">
        <v>185</v>
      </c>
      <c r="D545" s="30">
        <v>500</v>
      </c>
      <c r="E545" s="30">
        <v>450</v>
      </c>
      <c r="F545" s="30">
        <f t="shared" ref="F545:F548" si="21">D545+E545</f>
        <v>950</v>
      </c>
      <c r="G545" s="30">
        <v>0</v>
      </c>
      <c r="H545" s="30"/>
      <c r="I545" s="28" t="str">
        <f>""</f>
        <v/>
      </c>
    </row>
    <row r="546" spans="2:9" s="28" customFormat="1" ht="15" customHeight="1">
      <c r="B546" s="28" t="s">
        <v>15</v>
      </c>
      <c r="C546" s="28" t="s">
        <v>186</v>
      </c>
      <c r="D546" s="30">
        <v>500</v>
      </c>
      <c r="E546" s="30">
        <v>450</v>
      </c>
      <c r="F546" s="30">
        <f t="shared" si="21"/>
        <v>950</v>
      </c>
      <c r="G546" s="30">
        <v>0</v>
      </c>
      <c r="I546" s="28" t="str">
        <f>""</f>
        <v/>
      </c>
    </row>
    <row r="547" spans="2:9" s="28" customFormat="1" ht="15" customHeight="1">
      <c r="B547" s="28" t="s">
        <v>15</v>
      </c>
      <c r="C547" s="28" t="s">
        <v>187</v>
      </c>
      <c r="D547" s="30">
        <v>500</v>
      </c>
      <c r="E547" s="30">
        <v>225</v>
      </c>
      <c r="F547" s="30">
        <f t="shared" si="21"/>
        <v>725</v>
      </c>
      <c r="G547" s="30">
        <v>0</v>
      </c>
      <c r="I547" s="28" t="str">
        <f>""</f>
        <v/>
      </c>
    </row>
    <row r="548" spans="2:9" s="28" customFormat="1" ht="15" customHeight="1">
      <c r="B548" s="28" t="s">
        <v>15</v>
      </c>
      <c r="C548" s="28" t="s">
        <v>188</v>
      </c>
      <c r="D548" s="30">
        <v>500</v>
      </c>
      <c r="E548" s="30"/>
      <c r="F548" s="30">
        <f t="shared" si="21"/>
        <v>500</v>
      </c>
      <c r="G548" s="30">
        <v>0</v>
      </c>
      <c r="I548" s="28" t="str">
        <f>""</f>
        <v/>
      </c>
    </row>
    <row r="549" spans="2:9" s="28" customFormat="1" ht="15" customHeight="1">
      <c r="D549" s="30"/>
      <c r="E549" s="30"/>
      <c r="F549" s="30"/>
      <c r="G549" s="30"/>
      <c r="I549" s="28" t="str">
        <f>""</f>
        <v/>
      </c>
    </row>
    <row r="550" spans="2:9" s="28" customFormat="1" ht="15" customHeight="1">
      <c r="B550" s="28" t="s">
        <v>16</v>
      </c>
      <c r="C550" s="28" t="s">
        <v>189</v>
      </c>
      <c r="D550" s="30">
        <v>4200</v>
      </c>
      <c r="E550" s="30">
        <v>225</v>
      </c>
      <c r="F550" s="30">
        <f t="shared" ref="F550:F553" si="22">D550+E550</f>
        <v>4425</v>
      </c>
      <c r="G550" s="30">
        <v>0</v>
      </c>
      <c r="I550" s="28" t="str">
        <f>""</f>
        <v/>
      </c>
    </row>
    <row r="551" spans="2:9" s="28" customFormat="1" ht="15" customHeight="1">
      <c r="B551" s="28" t="s">
        <v>16</v>
      </c>
      <c r="C551" s="28" t="s">
        <v>190</v>
      </c>
      <c r="D551" s="30">
        <v>4200</v>
      </c>
      <c r="E551" s="30">
        <v>0</v>
      </c>
      <c r="F551" s="30">
        <f t="shared" si="22"/>
        <v>4200</v>
      </c>
      <c r="G551" s="30">
        <v>0</v>
      </c>
      <c r="I551" s="28" t="str">
        <f>""</f>
        <v/>
      </c>
    </row>
    <row r="552" spans="2:9" s="28" customFormat="1" ht="15" customHeight="1">
      <c r="B552" s="28" t="s">
        <v>16</v>
      </c>
      <c r="C552" s="28" t="s">
        <v>191</v>
      </c>
      <c r="D552" s="30">
        <v>0</v>
      </c>
      <c r="E552" s="30">
        <v>0</v>
      </c>
      <c r="F552" s="30">
        <f t="shared" si="22"/>
        <v>0</v>
      </c>
      <c r="G552" s="30">
        <v>0</v>
      </c>
      <c r="I552" s="28" t="s">
        <v>115</v>
      </c>
    </row>
    <row r="553" spans="2:9" s="28" customFormat="1" ht="15" customHeight="1">
      <c r="B553" s="28" t="s">
        <v>16</v>
      </c>
      <c r="C553" s="28" t="s">
        <v>192</v>
      </c>
      <c r="D553" s="30">
        <v>0</v>
      </c>
      <c r="E553" s="30">
        <v>0</v>
      </c>
      <c r="F553" s="30">
        <f t="shared" si="22"/>
        <v>0</v>
      </c>
      <c r="G553" s="30">
        <v>0</v>
      </c>
      <c r="I553" s="28" t="s">
        <v>115</v>
      </c>
    </row>
    <row r="554" spans="2:9" s="28" customFormat="1" ht="15" customHeight="1">
      <c r="D554" s="30"/>
      <c r="E554" s="30"/>
      <c r="F554" s="30"/>
      <c r="G554" s="30"/>
      <c r="I554" s="28" t="str">
        <f>""</f>
        <v/>
      </c>
    </row>
    <row r="555" spans="2:9" s="28" customFormat="1" ht="15" customHeight="1">
      <c r="B555" s="28" t="s">
        <v>95</v>
      </c>
      <c r="C555" s="28" t="s">
        <v>193</v>
      </c>
      <c r="D555" s="30">
        <v>4200</v>
      </c>
      <c r="E555" s="30">
        <v>225</v>
      </c>
      <c r="F555" s="30">
        <f t="shared" ref="F555:F558" si="23">D555+E555</f>
        <v>4425</v>
      </c>
      <c r="G555" s="30">
        <v>150</v>
      </c>
      <c r="H555" s="30" t="s">
        <v>23</v>
      </c>
      <c r="I555" s="28" t="str">
        <f>""</f>
        <v/>
      </c>
    </row>
    <row r="556" spans="2:9" s="28" customFormat="1" ht="15" customHeight="1">
      <c r="B556" s="28" t="s">
        <v>95</v>
      </c>
      <c r="C556" s="28" t="s">
        <v>194</v>
      </c>
      <c r="D556" s="30">
        <v>4200</v>
      </c>
      <c r="E556" s="30">
        <v>0</v>
      </c>
      <c r="F556" s="30">
        <f t="shared" si="23"/>
        <v>4200</v>
      </c>
      <c r="G556" s="30">
        <v>150</v>
      </c>
      <c r="H556" s="30" t="s">
        <v>23</v>
      </c>
      <c r="I556" s="28" t="str">
        <f>""</f>
        <v/>
      </c>
    </row>
    <row r="557" spans="2:9" s="28" customFormat="1" ht="15" customHeight="1">
      <c r="B557" s="28" t="s">
        <v>95</v>
      </c>
      <c r="C557" s="28" t="s">
        <v>195</v>
      </c>
      <c r="D557" s="30">
        <v>0</v>
      </c>
      <c r="E557" s="30">
        <v>0</v>
      </c>
      <c r="F557" s="30">
        <f t="shared" si="23"/>
        <v>0</v>
      </c>
      <c r="G557" s="30">
        <v>0</v>
      </c>
      <c r="H557" s="30" t="s">
        <v>23</v>
      </c>
      <c r="I557" s="28" t="s">
        <v>115</v>
      </c>
    </row>
    <row r="558" spans="2:9" s="28" customFormat="1" ht="15" customHeight="1">
      <c r="B558" s="28" t="s">
        <v>95</v>
      </c>
      <c r="C558" s="28" t="s">
        <v>196</v>
      </c>
      <c r="D558" s="30">
        <v>0</v>
      </c>
      <c r="E558" s="30">
        <v>0</v>
      </c>
      <c r="F558" s="30">
        <f t="shared" si="23"/>
        <v>0</v>
      </c>
      <c r="G558" s="30">
        <v>0</v>
      </c>
      <c r="H558" s="30" t="s">
        <v>23</v>
      </c>
      <c r="I558" s="28" t="s">
        <v>115</v>
      </c>
    </row>
    <row r="559" spans="2:9" s="28" customFormat="1" ht="15" customHeight="1">
      <c r="D559" s="30"/>
      <c r="E559" s="30"/>
      <c r="F559" s="30"/>
      <c r="G559" s="30"/>
      <c r="H559" s="30"/>
      <c r="I559" s="28" t="str">
        <f>""</f>
        <v/>
      </c>
    </row>
    <row r="560" spans="2:9" s="28" customFormat="1" ht="15" customHeight="1">
      <c r="B560" s="30" t="s">
        <v>94</v>
      </c>
      <c r="C560" s="28" t="s">
        <v>197</v>
      </c>
      <c r="D560" s="30">
        <f>3750+(71-10)*150</f>
        <v>12900</v>
      </c>
      <c r="E560" s="30">
        <v>0</v>
      </c>
      <c r="F560" s="30">
        <f t="shared" ref="F560:F564" si="24">D560+E560</f>
        <v>12900</v>
      </c>
      <c r="G560" s="30">
        <v>150</v>
      </c>
      <c r="H560" s="30" t="s">
        <v>98</v>
      </c>
    </row>
    <row r="561" spans="2:9" s="28" customFormat="1" ht="15" customHeight="1">
      <c r="B561" s="30" t="s">
        <v>94</v>
      </c>
      <c r="C561" s="28" t="s">
        <v>198</v>
      </c>
      <c r="D561" s="30">
        <f>3750+(71-10)*150</f>
        <v>12900</v>
      </c>
      <c r="E561" s="30">
        <v>0</v>
      </c>
      <c r="F561" s="30">
        <f t="shared" si="24"/>
        <v>12900</v>
      </c>
      <c r="G561" s="30">
        <v>150</v>
      </c>
      <c r="H561" s="30" t="s">
        <v>98</v>
      </c>
      <c r="I561" s="28" t="str">
        <f>""</f>
        <v/>
      </c>
    </row>
    <row r="562" spans="2:9" s="28" customFormat="1" ht="15" customHeight="1">
      <c r="B562" s="30" t="s">
        <v>94</v>
      </c>
      <c r="C562" s="28" t="s">
        <v>199</v>
      </c>
      <c r="D562" s="30">
        <f t="shared" ref="D562:D564" si="25">3750+(71-10)*150</f>
        <v>12900</v>
      </c>
      <c r="E562" s="30">
        <v>0</v>
      </c>
      <c r="F562" s="30">
        <f t="shared" si="24"/>
        <v>12900</v>
      </c>
      <c r="G562" s="30">
        <v>150</v>
      </c>
      <c r="H562" s="30" t="s">
        <v>98</v>
      </c>
      <c r="I562" s="28" t="str">
        <f>""</f>
        <v/>
      </c>
    </row>
    <row r="563" spans="2:9" s="28" customFormat="1" ht="15" customHeight="1">
      <c r="B563" s="30" t="s">
        <v>94</v>
      </c>
      <c r="C563" s="28" t="s">
        <v>200</v>
      </c>
      <c r="D563" s="30">
        <f t="shared" si="25"/>
        <v>12900</v>
      </c>
      <c r="E563" s="30">
        <v>0</v>
      </c>
      <c r="F563" s="30">
        <f t="shared" si="24"/>
        <v>12900</v>
      </c>
      <c r="G563" s="30">
        <v>150</v>
      </c>
      <c r="H563" s="30" t="s">
        <v>98</v>
      </c>
      <c r="I563" s="28" t="str">
        <f>""</f>
        <v/>
      </c>
    </row>
    <row r="564" spans="2:9" s="28" customFormat="1" ht="15" customHeight="1">
      <c r="B564" s="30" t="s">
        <v>94</v>
      </c>
      <c r="C564" s="28" t="s">
        <v>201</v>
      </c>
      <c r="D564" s="30">
        <f t="shared" si="25"/>
        <v>12900</v>
      </c>
      <c r="E564" s="30">
        <v>0</v>
      </c>
      <c r="F564" s="30">
        <f t="shared" si="24"/>
        <v>12900</v>
      </c>
      <c r="G564" s="30">
        <v>150</v>
      </c>
      <c r="H564" s="30" t="s">
        <v>98</v>
      </c>
      <c r="I564" s="28" t="str">
        <f>""</f>
        <v/>
      </c>
    </row>
    <row r="565" spans="2:9" s="28" customFormat="1" ht="15" customHeight="1">
      <c r="B565" s="30"/>
      <c r="D565" s="30"/>
      <c r="E565" s="30"/>
      <c r="F565" s="30"/>
      <c r="G565" s="30"/>
      <c r="H565" s="30"/>
    </row>
    <row r="566" spans="2:9" s="28" customFormat="1" ht="15" customHeight="1">
      <c r="B566" s="30"/>
      <c r="D566" s="30"/>
      <c r="E566" s="30"/>
      <c r="F566" s="30"/>
      <c r="G566" s="30"/>
      <c r="H566" s="30"/>
    </row>
    <row r="567" spans="2:9" s="28" customFormat="1" ht="15" customHeight="1">
      <c r="B567" s="24" t="s">
        <v>457</v>
      </c>
      <c r="C567" s="25" t="s">
        <v>458</v>
      </c>
      <c r="D567" s="26" t="s">
        <v>88</v>
      </c>
      <c r="E567" s="27" t="s">
        <v>89</v>
      </c>
      <c r="F567" s="27" t="s">
        <v>90</v>
      </c>
      <c r="G567" s="27" t="s">
        <v>91</v>
      </c>
      <c r="I567" s="28" t="str">
        <f>""</f>
        <v/>
      </c>
    </row>
    <row r="568" spans="2:9" s="28" customFormat="1" ht="15" customHeight="1">
      <c r="B568" s="28" t="s">
        <v>30</v>
      </c>
      <c r="C568" s="28" t="s">
        <v>30</v>
      </c>
      <c r="D568" s="29">
        <v>0</v>
      </c>
      <c r="E568" s="27">
        <v>0</v>
      </c>
      <c r="F568" s="27">
        <v>0</v>
      </c>
      <c r="G568" s="27">
        <v>0</v>
      </c>
      <c r="I568" s="28" t="str">
        <f>""</f>
        <v/>
      </c>
    </row>
    <row r="569" spans="2:9" s="28" customFormat="1" ht="15" customHeight="1">
      <c r="D569" s="29"/>
      <c r="E569" s="27"/>
      <c r="F569" s="27"/>
      <c r="G569" s="27"/>
      <c r="I569" s="28" t="str">
        <f>""</f>
        <v/>
      </c>
    </row>
    <row r="570" spans="2:9" s="28" customFormat="1" ht="15" customHeight="1">
      <c r="B570" s="28" t="s">
        <v>92</v>
      </c>
      <c r="C570" s="28" t="s">
        <v>459</v>
      </c>
      <c r="D570" s="30">
        <v>2100</v>
      </c>
      <c r="E570" s="30">
        <v>225</v>
      </c>
      <c r="F570" s="30">
        <f t="shared" ref="F570:F573" si="26">D570+E570</f>
        <v>2325</v>
      </c>
      <c r="G570" s="30">
        <v>150</v>
      </c>
      <c r="H570" s="28" t="s">
        <v>24</v>
      </c>
      <c r="I570" s="28" t="str">
        <f>""</f>
        <v/>
      </c>
    </row>
    <row r="571" spans="2:9" s="28" customFormat="1" ht="15" customHeight="1">
      <c r="B571" s="28" t="s">
        <v>92</v>
      </c>
      <c r="C571" s="28" t="s">
        <v>460</v>
      </c>
      <c r="D571" s="30">
        <v>2100</v>
      </c>
      <c r="E571" s="30">
        <v>0</v>
      </c>
      <c r="F571" s="30">
        <f t="shared" si="26"/>
        <v>2100</v>
      </c>
      <c r="G571" s="30">
        <v>150</v>
      </c>
      <c r="H571" s="28" t="s">
        <v>24</v>
      </c>
      <c r="I571" s="28" t="str">
        <f>""</f>
        <v/>
      </c>
    </row>
    <row r="572" spans="2:9" s="28" customFormat="1" ht="15" customHeight="1">
      <c r="B572" s="28" t="s">
        <v>92</v>
      </c>
      <c r="C572" s="28" t="s">
        <v>461</v>
      </c>
      <c r="D572" s="30">
        <v>0</v>
      </c>
      <c r="E572" s="30">
        <v>0</v>
      </c>
      <c r="F572" s="30">
        <f t="shared" si="26"/>
        <v>0</v>
      </c>
      <c r="G572" s="30">
        <v>0</v>
      </c>
      <c r="I572" s="28" t="s">
        <v>115</v>
      </c>
    </row>
    <row r="573" spans="2:9" s="28" customFormat="1" ht="15" customHeight="1">
      <c r="B573" s="28" t="s">
        <v>92</v>
      </c>
      <c r="C573" s="28" t="s">
        <v>462</v>
      </c>
      <c r="D573" s="30">
        <v>0</v>
      </c>
      <c r="E573" s="30">
        <v>0</v>
      </c>
      <c r="F573" s="30">
        <f t="shared" si="26"/>
        <v>0</v>
      </c>
      <c r="G573" s="30">
        <v>0</v>
      </c>
      <c r="I573" s="28" t="s">
        <v>115</v>
      </c>
    </row>
    <row r="574" spans="2:9" s="28" customFormat="1" ht="15" customHeight="1">
      <c r="D574" s="30"/>
      <c r="E574" s="30"/>
      <c r="F574" s="30"/>
      <c r="G574" s="30"/>
    </row>
    <row r="575" spans="2:9" s="28" customFormat="1" ht="15" customHeight="1">
      <c r="B575" s="24" t="s">
        <v>516</v>
      </c>
      <c r="C575" s="25" t="s">
        <v>517</v>
      </c>
      <c r="D575" s="26" t="s">
        <v>154</v>
      </c>
      <c r="E575" s="27" t="s">
        <v>155</v>
      </c>
      <c r="F575" s="27" t="s">
        <v>156</v>
      </c>
      <c r="G575" s="27" t="s">
        <v>157</v>
      </c>
      <c r="I575" s="28" t="str">
        <f>""</f>
        <v/>
      </c>
    </row>
    <row r="576" spans="2:9" s="28" customFormat="1" ht="15" customHeight="1">
      <c r="B576" s="28" t="s">
        <v>92</v>
      </c>
      <c r="C576" s="28" t="s">
        <v>512</v>
      </c>
      <c r="D576" s="30">
        <v>1250</v>
      </c>
      <c r="E576" s="30">
        <v>200</v>
      </c>
      <c r="F576" s="30">
        <f t="shared" ref="F576:F579" si="27">D576+E576</f>
        <v>1450</v>
      </c>
      <c r="G576" s="30">
        <v>225</v>
      </c>
      <c r="H576" s="28" t="s">
        <v>24</v>
      </c>
      <c r="I576" s="28" t="str">
        <f>""</f>
        <v/>
      </c>
    </row>
    <row r="577" spans="2:9" s="28" customFormat="1" ht="15" customHeight="1">
      <c r="B577" s="28" t="s">
        <v>92</v>
      </c>
      <c r="C577" s="28" t="s">
        <v>513</v>
      </c>
      <c r="D577" s="30">
        <v>1250</v>
      </c>
      <c r="E577" s="30">
        <v>0</v>
      </c>
      <c r="F577" s="30">
        <f t="shared" si="27"/>
        <v>1250</v>
      </c>
      <c r="G577" s="30">
        <v>225</v>
      </c>
      <c r="H577" s="28" t="s">
        <v>24</v>
      </c>
      <c r="I577" s="28" t="str">
        <f>""</f>
        <v/>
      </c>
    </row>
    <row r="578" spans="2:9" s="28" customFormat="1" ht="15" customHeight="1">
      <c r="B578" s="28" t="s">
        <v>92</v>
      </c>
      <c r="C578" s="28" t="s">
        <v>514</v>
      </c>
      <c r="D578" s="30">
        <v>0</v>
      </c>
      <c r="E578" s="30">
        <v>0</v>
      </c>
      <c r="F578" s="30">
        <f t="shared" si="27"/>
        <v>0</v>
      </c>
      <c r="G578" s="30">
        <v>0</v>
      </c>
      <c r="I578" s="28" t="s">
        <v>115</v>
      </c>
    </row>
    <row r="579" spans="2:9" s="28" customFormat="1" ht="15" customHeight="1">
      <c r="B579" s="28" t="s">
        <v>92</v>
      </c>
      <c r="C579" s="28" t="s">
        <v>515</v>
      </c>
      <c r="D579" s="30">
        <v>0</v>
      </c>
      <c r="E579" s="30">
        <v>0</v>
      </c>
      <c r="F579" s="30">
        <f t="shared" si="27"/>
        <v>0</v>
      </c>
      <c r="G579" s="30">
        <v>0</v>
      </c>
      <c r="I579" s="28" t="s">
        <v>115</v>
      </c>
    </row>
    <row r="580" spans="2:9" s="28" customFormat="1" ht="15" customHeight="1">
      <c r="D580" s="30"/>
      <c r="E580" s="30"/>
      <c r="F580" s="30"/>
      <c r="G580" s="30"/>
    </row>
    <row r="581" spans="2:9" s="28" customFormat="1" ht="15" customHeight="1">
      <c r="B581" s="30"/>
      <c r="D581" s="30"/>
      <c r="E581" s="30"/>
      <c r="F581" s="30"/>
      <c r="G581" s="30"/>
      <c r="H581" s="30"/>
    </row>
    <row r="582" spans="2:9" s="28" customFormat="1" ht="15" customHeight="1">
      <c r="B582" s="24" t="s">
        <v>463</v>
      </c>
      <c r="C582" s="25" t="s">
        <v>464</v>
      </c>
      <c r="D582" s="26" t="s">
        <v>559</v>
      </c>
      <c r="E582" s="27" t="s">
        <v>518</v>
      </c>
      <c r="F582" s="27" t="s">
        <v>519</v>
      </c>
      <c r="G582" s="27" t="s">
        <v>520</v>
      </c>
      <c r="H582" s="25" t="s">
        <v>560</v>
      </c>
      <c r="I582" s="28" t="str">
        <f>""</f>
        <v/>
      </c>
    </row>
    <row r="583" spans="2:9" s="28" customFormat="1" ht="15" customHeight="1">
      <c r="B583" s="28" t="s">
        <v>30</v>
      </c>
      <c r="C583" s="28" t="s">
        <v>30</v>
      </c>
      <c r="D583" s="29">
        <v>0</v>
      </c>
      <c r="E583" s="27">
        <v>0</v>
      </c>
      <c r="F583" s="27">
        <v>0</v>
      </c>
      <c r="G583" s="27">
        <v>0</v>
      </c>
      <c r="I583" s="28" t="str">
        <f>""</f>
        <v/>
      </c>
    </row>
    <row r="584" spans="2:9" s="28" customFormat="1" ht="15" customHeight="1">
      <c r="D584" s="29"/>
      <c r="E584" s="27"/>
      <c r="F584" s="27"/>
      <c r="G584" s="27"/>
      <c r="I584" s="28" t="str">
        <f>""</f>
        <v/>
      </c>
    </row>
    <row r="585" spans="2:9" s="28" customFormat="1" ht="15" customHeight="1">
      <c r="B585" s="28" t="s">
        <v>12</v>
      </c>
      <c r="C585" s="28" t="s">
        <v>465</v>
      </c>
      <c r="D585" s="29">
        <v>500</v>
      </c>
      <c r="E585" s="29">
        <v>450</v>
      </c>
      <c r="F585" s="30">
        <f>D585+E585</f>
        <v>950</v>
      </c>
      <c r="G585" s="29">
        <v>0</v>
      </c>
      <c r="I585" s="28" t="str">
        <f>""</f>
        <v/>
      </c>
    </row>
    <row r="586" spans="2:9" s="28" customFormat="1" ht="15" customHeight="1">
      <c r="B586" s="28" t="s">
        <v>12</v>
      </c>
      <c r="C586" s="28" t="s">
        <v>466</v>
      </c>
      <c r="D586" s="30">
        <v>500</v>
      </c>
      <c r="E586" s="30">
        <v>450</v>
      </c>
      <c r="F586" s="30">
        <f>D586+E586</f>
        <v>950</v>
      </c>
      <c r="G586" s="30">
        <v>0</v>
      </c>
      <c r="I586" s="28" t="str">
        <f>""</f>
        <v/>
      </c>
    </row>
    <row r="587" spans="2:9" s="28" customFormat="1" ht="15" customHeight="1">
      <c r="B587" s="28" t="s">
        <v>12</v>
      </c>
      <c r="C587" s="28" t="s">
        <v>467</v>
      </c>
      <c r="D587" s="30">
        <v>500</v>
      </c>
      <c r="E587" s="30">
        <v>225</v>
      </c>
      <c r="F587" s="30">
        <f t="shared" ref="F587:F588" si="28">D587+E587</f>
        <v>725</v>
      </c>
      <c r="G587" s="30">
        <v>0</v>
      </c>
      <c r="I587" s="28" t="str">
        <f>""</f>
        <v/>
      </c>
    </row>
    <row r="588" spans="2:9" s="28" customFormat="1" ht="15" customHeight="1">
      <c r="B588" s="28" t="s">
        <v>12</v>
      </c>
      <c r="C588" s="28" t="s">
        <v>468</v>
      </c>
      <c r="D588" s="30">
        <v>500</v>
      </c>
      <c r="E588" s="30">
        <v>0</v>
      </c>
      <c r="F588" s="30">
        <f t="shared" si="28"/>
        <v>500</v>
      </c>
      <c r="G588" s="30">
        <v>0</v>
      </c>
      <c r="I588" s="28" t="str">
        <f>""</f>
        <v/>
      </c>
    </row>
    <row r="589" spans="2:9" s="28" customFormat="1" ht="15" customHeight="1">
      <c r="D589" s="30"/>
      <c r="E589" s="30"/>
      <c r="F589" s="30"/>
      <c r="G589" s="30"/>
    </row>
    <row r="590" spans="2:9" s="28" customFormat="1" ht="15" customHeight="1">
      <c r="B590" s="28" t="s">
        <v>538</v>
      </c>
      <c r="C590" s="28" t="s">
        <v>469</v>
      </c>
      <c r="D590" s="30">
        <v>1250</v>
      </c>
      <c r="E590" s="30">
        <v>200</v>
      </c>
      <c r="F590" s="30">
        <f t="shared" ref="F590:F593" si="29">D590+E590</f>
        <v>1450</v>
      </c>
      <c r="G590" s="30">
        <v>225</v>
      </c>
      <c r="H590" s="28" t="s">
        <v>24</v>
      </c>
      <c r="I590" s="28" t="str">
        <f>""</f>
        <v/>
      </c>
    </row>
    <row r="591" spans="2:9" s="28" customFormat="1" ht="15" customHeight="1">
      <c r="B591" s="28" t="s">
        <v>538</v>
      </c>
      <c r="C591" s="28" t="s">
        <v>470</v>
      </c>
      <c r="D591" s="30">
        <v>1250</v>
      </c>
      <c r="E591" s="30">
        <v>0</v>
      </c>
      <c r="F591" s="30">
        <f t="shared" si="29"/>
        <v>1250</v>
      </c>
      <c r="G591" s="30">
        <v>225</v>
      </c>
      <c r="H591" s="28" t="s">
        <v>24</v>
      </c>
      <c r="I591" s="28" t="str">
        <f>""</f>
        <v/>
      </c>
    </row>
    <row r="592" spans="2:9" s="28" customFormat="1" ht="15" customHeight="1">
      <c r="B592" s="28" t="s">
        <v>538</v>
      </c>
      <c r="C592" s="28" t="s">
        <v>471</v>
      </c>
      <c r="D592" s="30">
        <v>0</v>
      </c>
      <c r="E592" s="30">
        <v>0</v>
      </c>
      <c r="F592" s="30">
        <f t="shared" si="29"/>
        <v>0</v>
      </c>
      <c r="G592" s="30">
        <v>0</v>
      </c>
      <c r="I592" s="28" t="s">
        <v>115</v>
      </c>
    </row>
    <row r="593" spans="2:9" s="28" customFormat="1" ht="15" customHeight="1">
      <c r="B593" s="28" t="s">
        <v>538</v>
      </c>
      <c r="C593" s="28" t="s">
        <v>472</v>
      </c>
      <c r="D593" s="30">
        <v>0</v>
      </c>
      <c r="E593" s="30">
        <v>0</v>
      </c>
      <c r="F593" s="30">
        <f t="shared" si="29"/>
        <v>0</v>
      </c>
      <c r="G593" s="30">
        <v>0</v>
      </c>
      <c r="I593" s="28" t="s">
        <v>115</v>
      </c>
    </row>
    <row r="594" spans="2:9" s="28" customFormat="1" ht="15" customHeight="1">
      <c r="D594" s="30"/>
      <c r="E594" s="30"/>
      <c r="F594" s="30"/>
      <c r="G594" s="30"/>
      <c r="I594" s="28" t="str">
        <f>""</f>
        <v/>
      </c>
    </row>
    <row r="595" spans="2:9" s="28" customFormat="1" ht="15" customHeight="1">
      <c r="B595" s="28" t="s">
        <v>537</v>
      </c>
      <c r="C595" s="28" t="s">
        <v>532</v>
      </c>
      <c r="D595" s="30">
        <v>1250</v>
      </c>
      <c r="E595" s="30">
        <v>200</v>
      </c>
      <c r="F595" s="30">
        <f t="shared" ref="F595:F598" si="30">D595+E595</f>
        <v>1450</v>
      </c>
      <c r="G595" s="30">
        <v>225</v>
      </c>
      <c r="H595" s="28" t="s">
        <v>24</v>
      </c>
      <c r="I595" s="28" t="str">
        <f>""</f>
        <v/>
      </c>
    </row>
    <row r="596" spans="2:9" s="28" customFormat="1" ht="15" customHeight="1">
      <c r="B596" s="28" t="s">
        <v>537</v>
      </c>
      <c r="C596" s="28" t="s">
        <v>533</v>
      </c>
      <c r="D596" s="30">
        <v>1250</v>
      </c>
      <c r="E596" s="30">
        <v>0</v>
      </c>
      <c r="F596" s="30">
        <f t="shared" si="30"/>
        <v>1250</v>
      </c>
      <c r="G596" s="30">
        <v>225</v>
      </c>
      <c r="H596" s="28" t="s">
        <v>24</v>
      </c>
      <c r="I596" s="28" t="str">
        <f>""</f>
        <v/>
      </c>
    </row>
    <row r="597" spans="2:9" s="28" customFormat="1" ht="15" customHeight="1">
      <c r="B597" s="28" t="s">
        <v>537</v>
      </c>
      <c r="C597" s="28" t="s">
        <v>534</v>
      </c>
      <c r="D597" s="30">
        <v>0</v>
      </c>
      <c r="E597" s="30">
        <v>0</v>
      </c>
      <c r="F597" s="30">
        <f t="shared" si="30"/>
        <v>0</v>
      </c>
      <c r="G597" s="30">
        <v>0</v>
      </c>
      <c r="I597" s="28" t="s">
        <v>115</v>
      </c>
    </row>
    <row r="598" spans="2:9" s="28" customFormat="1" ht="15" customHeight="1">
      <c r="B598" s="28" t="s">
        <v>537</v>
      </c>
      <c r="C598" s="28" t="s">
        <v>535</v>
      </c>
      <c r="D598" s="30">
        <v>0</v>
      </c>
      <c r="E598" s="30">
        <v>0</v>
      </c>
      <c r="F598" s="30">
        <f t="shared" si="30"/>
        <v>0</v>
      </c>
      <c r="G598" s="30">
        <v>0</v>
      </c>
      <c r="I598" s="28" t="s">
        <v>115</v>
      </c>
    </row>
    <row r="599" spans="2:9" s="28" customFormat="1" ht="15" customHeight="1">
      <c r="D599" s="30"/>
      <c r="E599" s="30"/>
      <c r="F599" s="30"/>
      <c r="G599" s="30"/>
      <c r="I599" s="28" t="str">
        <f>""</f>
        <v/>
      </c>
    </row>
    <row r="600" spans="2:9" s="28" customFormat="1" ht="15" customHeight="1">
      <c r="B600" s="30" t="s">
        <v>540</v>
      </c>
      <c r="C600" s="28" t="s">
        <v>542</v>
      </c>
      <c r="D600" s="30">
        <f>1500+10650</f>
        <v>12150</v>
      </c>
      <c r="E600" s="30">
        <v>0</v>
      </c>
      <c r="F600" s="30">
        <f>D600+E600</f>
        <v>12150</v>
      </c>
      <c r="G600" s="30">
        <v>150</v>
      </c>
      <c r="H600" s="30" t="s">
        <v>98</v>
      </c>
    </row>
    <row r="601" spans="2:9" s="28" customFormat="1" ht="15" customHeight="1">
      <c r="B601" s="30" t="s">
        <v>540</v>
      </c>
      <c r="C601" s="28" t="s">
        <v>543</v>
      </c>
      <c r="D601" s="30">
        <f t="shared" ref="D601:D610" si="31">1500+10650</f>
        <v>12150</v>
      </c>
      <c r="E601" s="30">
        <v>0</v>
      </c>
      <c r="F601" s="30">
        <f>D601+E601</f>
        <v>12150</v>
      </c>
      <c r="G601" s="30">
        <v>150</v>
      </c>
      <c r="H601" s="30" t="s">
        <v>98</v>
      </c>
      <c r="I601" s="28" t="str">
        <f>""</f>
        <v/>
      </c>
    </row>
    <row r="602" spans="2:9" s="28" customFormat="1" ht="15" customHeight="1">
      <c r="B602" s="30" t="s">
        <v>540</v>
      </c>
      <c r="C602" s="28" t="s">
        <v>544</v>
      </c>
      <c r="D602" s="30">
        <f t="shared" si="31"/>
        <v>12150</v>
      </c>
      <c r="E602" s="30">
        <v>0</v>
      </c>
      <c r="F602" s="30">
        <f>D602+E602</f>
        <v>12150</v>
      </c>
      <c r="G602" s="30">
        <v>150</v>
      </c>
      <c r="H602" s="30" t="s">
        <v>98</v>
      </c>
      <c r="I602" s="28" t="str">
        <f>""</f>
        <v/>
      </c>
    </row>
    <row r="603" spans="2:9" s="28" customFormat="1" ht="15" customHeight="1">
      <c r="B603" s="30" t="s">
        <v>540</v>
      </c>
      <c r="C603" s="28" t="s">
        <v>545</v>
      </c>
      <c r="D603" s="30">
        <f t="shared" si="31"/>
        <v>12150</v>
      </c>
      <c r="E603" s="30">
        <v>0</v>
      </c>
      <c r="F603" s="30">
        <f>D603+E603</f>
        <v>12150</v>
      </c>
      <c r="G603" s="30">
        <v>150</v>
      </c>
      <c r="H603" s="30" t="s">
        <v>98</v>
      </c>
      <c r="I603" s="28" t="str">
        <f>""</f>
        <v/>
      </c>
    </row>
    <row r="604" spans="2:9" s="28" customFormat="1" ht="15" customHeight="1">
      <c r="B604" s="30" t="s">
        <v>540</v>
      </c>
      <c r="C604" s="28" t="s">
        <v>546</v>
      </c>
      <c r="D604" s="30">
        <f t="shared" si="31"/>
        <v>12150</v>
      </c>
      <c r="E604" s="30">
        <v>0</v>
      </c>
      <c r="F604" s="30">
        <f>D604+E604</f>
        <v>12150</v>
      </c>
      <c r="G604" s="30">
        <v>150</v>
      </c>
      <c r="H604" s="30" t="s">
        <v>98</v>
      </c>
      <c r="I604" s="28" t="str">
        <f>""</f>
        <v/>
      </c>
    </row>
    <row r="605" spans="2:9" s="28" customFormat="1" ht="15" customHeight="1">
      <c r="B605" s="30"/>
      <c r="D605" s="30"/>
      <c r="E605" s="30"/>
      <c r="F605" s="30"/>
      <c r="G605" s="30"/>
      <c r="H605" s="30"/>
    </row>
    <row r="606" spans="2:9" s="28" customFormat="1" ht="15" customHeight="1">
      <c r="B606" s="30" t="s">
        <v>541</v>
      </c>
      <c r="C606" s="28" t="s">
        <v>473</v>
      </c>
      <c r="D606" s="30">
        <f t="shared" si="31"/>
        <v>12150</v>
      </c>
      <c r="E606" s="30">
        <v>0</v>
      </c>
      <c r="F606" s="30">
        <f t="shared" ref="F606:F610" si="32">D606+E606</f>
        <v>12150</v>
      </c>
      <c r="G606" s="30">
        <v>150</v>
      </c>
      <c r="H606" s="30" t="s">
        <v>98</v>
      </c>
    </row>
    <row r="607" spans="2:9" s="28" customFormat="1" ht="15" customHeight="1">
      <c r="B607" s="30" t="s">
        <v>541</v>
      </c>
      <c r="C607" s="28" t="s">
        <v>474</v>
      </c>
      <c r="D607" s="30">
        <f t="shared" si="31"/>
        <v>12150</v>
      </c>
      <c r="E607" s="30">
        <v>0</v>
      </c>
      <c r="F607" s="30">
        <f t="shared" si="32"/>
        <v>12150</v>
      </c>
      <c r="G607" s="30">
        <v>150</v>
      </c>
      <c r="H607" s="30" t="s">
        <v>98</v>
      </c>
      <c r="I607" s="28" t="str">
        <f>""</f>
        <v/>
      </c>
    </row>
    <row r="608" spans="2:9" s="28" customFormat="1" ht="15" customHeight="1">
      <c r="B608" s="30" t="s">
        <v>541</v>
      </c>
      <c r="C608" s="28" t="s">
        <v>475</v>
      </c>
      <c r="D608" s="30">
        <f t="shared" si="31"/>
        <v>12150</v>
      </c>
      <c r="E608" s="30">
        <v>0</v>
      </c>
      <c r="F608" s="30">
        <f t="shared" si="32"/>
        <v>12150</v>
      </c>
      <c r="G608" s="30">
        <v>150</v>
      </c>
      <c r="H608" s="30" t="s">
        <v>98</v>
      </c>
      <c r="I608" s="28" t="str">
        <f>""</f>
        <v/>
      </c>
    </row>
    <row r="609" spans="2:9" s="28" customFormat="1" ht="15" customHeight="1">
      <c r="B609" s="30" t="s">
        <v>541</v>
      </c>
      <c r="C609" s="28" t="s">
        <v>476</v>
      </c>
      <c r="D609" s="30">
        <f t="shared" si="31"/>
        <v>12150</v>
      </c>
      <c r="E609" s="30">
        <v>0</v>
      </c>
      <c r="F609" s="30">
        <f t="shared" si="32"/>
        <v>12150</v>
      </c>
      <c r="G609" s="30">
        <v>150</v>
      </c>
      <c r="H609" s="30" t="s">
        <v>98</v>
      </c>
      <c r="I609" s="28" t="str">
        <f>""</f>
        <v/>
      </c>
    </row>
    <row r="610" spans="2:9" s="28" customFormat="1" ht="15" customHeight="1">
      <c r="B610" s="30" t="s">
        <v>541</v>
      </c>
      <c r="C610" s="28" t="s">
        <v>477</v>
      </c>
      <c r="D610" s="30">
        <f t="shared" si="31"/>
        <v>12150</v>
      </c>
      <c r="E610" s="30">
        <v>0</v>
      </c>
      <c r="F610" s="30">
        <f t="shared" si="32"/>
        <v>12150</v>
      </c>
      <c r="G610" s="30">
        <v>150</v>
      </c>
      <c r="H610" s="30" t="s">
        <v>98</v>
      </c>
      <c r="I610" s="28" t="str">
        <f>""</f>
        <v/>
      </c>
    </row>
    <row r="611" spans="2:9" s="28" customFormat="1" ht="15" customHeight="1">
      <c r="B611" s="30"/>
      <c r="D611" s="30"/>
      <c r="E611" s="30"/>
      <c r="F611" s="30"/>
      <c r="G611" s="30"/>
      <c r="H611" s="30"/>
      <c r="I611" s="28" t="str">
        <f>""</f>
        <v/>
      </c>
    </row>
    <row r="612" spans="2:9" s="28" customFormat="1" ht="15" customHeight="1">
      <c r="B612" s="28" t="s">
        <v>13</v>
      </c>
      <c r="C612" s="28" t="s">
        <v>478</v>
      </c>
      <c r="D612" s="30">
        <v>500</v>
      </c>
      <c r="E612" s="30">
        <v>450</v>
      </c>
      <c r="F612" s="30">
        <f t="shared" ref="F612:F615" si="33">D612+E612</f>
        <v>950</v>
      </c>
      <c r="G612" s="30">
        <v>0</v>
      </c>
      <c r="H612" s="30"/>
      <c r="I612" s="28" t="str">
        <f>""</f>
        <v/>
      </c>
    </row>
    <row r="613" spans="2:9" s="28" customFormat="1" ht="15" customHeight="1">
      <c r="B613" s="28" t="s">
        <v>13</v>
      </c>
      <c r="C613" s="28" t="s">
        <v>479</v>
      </c>
      <c r="D613" s="30">
        <v>500</v>
      </c>
      <c r="E613" s="30">
        <v>450</v>
      </c>
      <c r="F613" s="30">
        <f t="shared" si="33"/>
        <v>950</v>
      </c>
      <c r="G613" s="30">
        <v>0</v>
      </c>
      <c r="I613" s="28" t="str">
        <f>""</f>
        <v/>
      </c>
    </row>
    <row r="614" spans="2:9" s="28" customFormat="1" ht="15" customHeight="1">
      <c r="B614" s="28" t="s">
        <v>13</v>
      </c>
      <c r="C614" s="28" t="s">
        <v>480</v>
      </c>
      <c r="D614" s="30">
        <v>500</v>
      </c>
      <c r="E614" s="30">
        <v>225</v>
      </c>
      <c r="F614" s="30">
        <f t="shared" si="33"/>
        <v>725</v>
      </c>
      <c r="G614" s="30">
        <v>0</v>
      </c>
      <c r="I614" s="28" t="str">
        <f>""</f>
        <v/>
      </c>
    </row>
    <row r="615" spans="2:9" s="28" customFormat="1" ht="15" customHeight="1">
      <c r="B615" s="28" t="s">
        <v>13</v>
      </c>
      <c r="C615" s="28" t="s">
        <v>481</v>
      </c>
      <c r="D615" s="30">
        <v>500</v>
      </c>
      <c r="E615" s="30">
        <v>0</v>
      </c>
      <c r="F615" s="30">
        <f t="shared" si="33"/>
        <v>500</v>
      </c>
      <c r="G615" s="30">
        <v>0</v>
      </c>
      <c r="I615" s="28" t="str">
        <f>""</f>
        <v/>
      </c>
    </row>
    <row r="616" spans="2:9" s="28" customFormat="1" ht="15" customHeight="1">
      <c r="D616" s="30"/>
      <c r="E616" s="30"/>
      <c r="F616" s="30"/>
      <c r="G616" s="30"/>
      <c r="I616" s="28" t="str">
        <f>""</f>
        <v/>
      </c>
    </row>
    <row r="617" spans="2:9" s="28" customFormat="1" ht="15" customHeight="1">
      <c r="B617" s="28" t="s">
        <v>14</v>
      </c>
      <c r="C617" s="28" t="s">
        <v>482</v>
      </c>
      <c r="D617" s="30">
        <v>4200</v>
      </c>
      <c r="E617" s="30">
        <v>225</v>
      </c>
      <c r="F617" s="30">
        <f t="shared" ref="F617:F620" si="34">D617+E617</f>
        <v>4425</v>
      </c>
      <c r="G617" s="30">
        <v>0</v>
      </c>
      <c r="I617" s="28" t="str">
        <f>""</f>
        <v/>
      </c>
    </row>
    <row r="618" spans="2:9" s="28" customFormat="1" ht="15" customHeight="1">
      <c r="B618" s="28" t="s">
        <v>14</v>
      </c>
      <c r="C618" s="28" t="s">
        <v>483</v>
      </c>
      <c r="D618" s="30">
        <v>4200</v>
      </c>
      <c r="E618" s="30">
        <v>0</v>
      </c>
      <c r="F618" s="30">
        <f t="shared" si="34"/>
        <v>4200</v>
      </c>
      <c r="G618" s="30">
        <v>0</v>
      </c>
      <c r="I618" s="28" t="str">
        <f>""</f>
        <v/>
      </c>
    </row>
    <row r="619" spans="2:9" s="28" customFormat="1" ht="15" customHeight="1">
      <c r="B619" s="28" t="s">
        <v>14</v>
      </c>
      <c r="C619" s="28" t="s">
        <v>484</v>
      </c>
      <c r="D619" s="30">
        <v>0</v>
      </c>
      <c r="E619" s="30">
        <v>0</v>
      </c>
      <c r="F619" s="30">
        <f t="shared" si="34"/>
        <v>0</v>
      </c>
      <c r="G619" s="30">
        <v>0</v>
      </c>
      <c r="I619" s="28" t="s">
        <v>115</v>
      </c>
    </row>
    <row r="620" spans="2:9" s="28" customFormat="1" ht="15" customHeight="1">
      <c r="B620" s="28" t="s">
        <v>14</v>
      </c>
      <c r="C620" s="28" t="s">
        <v>485</v>
      </c>
      <c r="D620" s="30">
        <v>0</v>
      </c>
      <c r="E620" s="30">
        <v>0</v>
      </c>
      <c r="F620" s="30">
        <f t="shared" si="34"/>
        <v>0</v>
      </c>
      <c r="G620" s="30">
        <v>0</v>
      </c>
      <c r="I620" s="28" t="s">
        <v>115</v>
      </c>
    </row>
    <row r="621" spans="2:9" s="28" customFormat="1" ht="15" customHeight="1">
      <c r="D621" s="30"/>
      <c r="E621" s="30"/>
      <c r="F621" s="30"/>
      <c r="G621" s="30"/>
      <c r="I621" s="28" t="str">
        <f>""</f>
        <v/>
      </c>
    </row>
    <row r="622" spans="2:9" s="28" customFormat="1" ht="15" customHeight="1">
      <c r="B622" s="28" t="s">
        <v>96</v>
      </c>
      <c r="C622" s="28" t="s">
        <v>486</v>
      </c>
      <c r="D622" s="30">
        <v>4200</v>
      </c>
      <c r="E622" s="30">
        <v>225</v>
      </c>
      <c r="F622" s="30">
        <f t="shared" ref="F622:F625" si="35">D622+E622</f>
        <v>4425</v>
      </c>
      <c r="G622" s="30">
        <v>150</v>
      </c>
      <c r="H622" s="30" t="s">
        <v>23</v>
      </c>
      <c r="I622" s="28" t="str">
        <f>""</f>
        <v/>
      </c>
    </row>
    <row r="623" spans="2:9" s="28" customFormat="1" ht="15" customHeight="1">
      <c r="B623" s="28" t="s">
        <v>96</v>
      </c>
      <c r="C623" s="28" t="s">
        <v>487</v>
      </c>
      <c r="D623" s="30">
        <v>4200</v>
      </c>
      <c r="E623" s="30">
        <v>0</v>
      </c>
      <c r="F623" s="30">
        <f t="shared" si="35"/>
        <v>4200</v>
      </c>
      <c r="G623" s="30">
        <v>150</v>
      </c>
      <c r="H623" s="30" t="s">
        <v>23</v>
      </c>
      <c r="I623" s="28" t="str">
        <f>""</f>
        <v/>
      </c>
    </row>
    <row r="624" spans="2:9" s="28" customFormat="1" ht="15" customHeight="1">
      <c r="B624" s="28" t="s">
        <v>96</v>
      </c>
      <c r="C624" s="28" t="s">
        <v>488</v>
      </c>
      <c r="D624" s="30">
        <v>0</v>
      </c>
      <c r="E624" s="30">
        <v>0</v>
      </c>
      <c r="F624" s="30">
        <f t="shared" si="35"/>
        <v>0</v>
      </c>
      <c r="G624" s="30">
        <v>0</v>
      </c>
      <c r="H624" s="30"/>
      <c r="I624" s="28" t="s">
        <v>115</v>
      </c>
    </row>
    <row r="625" spans="2:9" s="28" customFormat="1" ht="15" customHeight="1">
      <c r="B625" s="28" t="s">
        <v>96</v>
      </c>
      <c r="C625" s="28" t="s">
        <v>489</v>
      </c>
      <c r="D625" s="30">
        <v>0</v>
      </c>
      <c r="E625" s="30">
        <v>0</v>
      </c>
      <c r="F625" s="30">
        <f t="shared" si="35"/>
        <v>0</v>
      </c>
      <c r="G625" s="30">
        <v>0</v>
      </c>
      <c r="H625" s="30"/>
      <c r="I625" s="28" t="s">
        <v>115</v>
      </c>
    </row>
    <row r="626" spans="2:9" s="28" customFormat="1" ht="15" customHeight="1">
      <c r="D626" s="30"/>
      <c r="E626" s="30"/>
      <c r="F626" s="30"/>
      <c r="G626" s="30"/>
      <c r="H626" s="30"/>
      <c r="I626" s="28" t="str">
        <f>""</f>
        <v/>
      </c>
    </row>
    <row r="627" spans="2:9" s="28" customFormat="1" ht="15" customHeight="1">
      <c r="B627" s="30" t="s">
        <v>97</v>
      </c>
      <c r="C627" s="28" t="s">
        <v>490</v>
      </c>
      <c r="D627" s="30">
        <f>3750+(71-10)*150</f>
        <v>12900</v>
      </c>
      <c r="E627" s="30">
        <v>0</v>
      </c>
      <c r="F627" s="30">
        <f t="shared" ref="F627:F631" si="36">D627+E627</f>
        <v>12900</v>
      </c>
      <c r="G627" s="30">
        <v>150</v>
      </c>
      <c r="H627" s="30" t="s">
        <v>98</v>
      </c>
    </row>
    <row r="628" spans="2:9" s="28" customFormat="1" ht="15" customHeight="1">
      <c r="B628" s="30" t="s">
        <v>97</v>
      </c>
      <c r="C628" s="28" t="s">
        <v>491</v>
      </c>
      <c r="D628" s="30">
        <f>3750+(71-10)*150</f>
        <v>12900</v>
      </c>
      <c r="E628" s="30">
        <v>0</v>
      </c>
      <c r="F628" s="30">
        <f t="shared" si="36"/>
        <v>12900</v>
      </c>
      <c r="G628" s="30">
        <v>150</v>
      </c>
      <c r="H628" s="30" t="s">
        <v>98</v>
      </c>
      <c r="I628" s="28" t="str">
        <f>""</f>
        <v/>
      </c>
    </row>
    <row r="629" spans="2:9" s="28" customFormat="1" ht="15" customHeight="1">
      <c r="B629" s="30" t="s">
        <v>97</v>
      </c>
      <c r="C629" s="28" t="s">
        <v>492</v>
      </c>
      <c r="D629" s="30">
        <f t="shared" ref="D629:D631" si="37">3750+(71-10)*150</f>
        <v>12900</v>
      </c>
      <c r="E629" s="30">
        <v>0</v>
      </c>
      <c r="F629" s="30">
        <f t="shared" si="36"/>
        <v>12900</v>
      </c>
      <c r="G629" s="30">
        <v>150</v>
      </c>
      <c r="H629" s="30" t="s">
        <v>98</v>
      </c>
      <c r="I629" s="28" t="str">
        <f>""</f>
        <v/>
      </c>
    </row>
    <row r="630" spans="2:9" s="28" customFormat="1" ht="15" customHeight="1">
      <c r="B630" s="30" t="s">
        <v>97</v>
      </c>
      <c r="C630" s="28" t="s">
        <v>493</v>
      </c>
      <c r="D630" s="30">
        <f t="shared" si="37"/>
        <v>12900</v>
      </c>
      <c r="E630" s="30">
        <v>0</v>
      </c>
      <c r="F630" s="30">
        <f t="shared" si="36"/>
        <v>12900</v>
      </c>
      <c r="G630" s="30">
        <v>150</v>
      </c>
      <c r="H630" s="30" t="s">
        <v>98</v>
      </c>
      <c r="I630" s="28" t="str">
        <f>""</f>
        <v/>
      </c>
    </row>
    <row r="631" spans="2:9" s="28" customFormat="1" ht="15" customHeight="1">
      <c r="B631" s="30" t="s">
        <v>97</v>
      </c>
      <c r="C631" s="28" t="s">
        <v>494</v>
      </c>
      <c r="D631" s="30">
        <f t="shared" si="37"/>
        <v>12900</v>
      </c>
      <c r="E631" s="30">
        <v>0</v>
      </c>
      <c r="F631" s="30">
        <f t="shared" si="36"/>
        <v>12900</v>
      </c>
      <c r="G631" s="30">
        <v>150</v>
      </c>
      <c r="H631" s="30" t="s">
        <v>98</v>
      </c>
      <c r="I631" s="28" t="str">
        <f>""</f>
        <v/>
      </c>
    </row>
    <row r="632" spans="2:9" s="28" customFormat="1" ht="15" customHeight="1">
      <c r="B632" s="30"/>
      <c r="C632" s="30"/>
      <c r="D632" s="30"/>
      <c r="E632" s="30"/>
      <c r="F632" s="30"/>
      <c r="G632" s="30"/>
      <c r="H632" s="30"/>
      <c r="I632" s="28" t="str">
        <f>""</f>
        <v/>
      </c>
    </row>
    <row r="633" spans="2:9" s="28" customFormat="1" ht="15" customHeight="1">
      <c r="B633" s="28" t="s">
        <v>15</v>
      </c>
      <c r="C633" s="28" t="s">
        <v>495</v>
      </c>
      <c r="D633" s="30">
        <v>500</v>
      </c>
      <c r="E633" s="30">
        <v>450</v>
      </c>
      <c r="F633" s="30">
        <f t="shared" ref="F633:F636" si="38">D633+E633</f>
        <v>950</v>
      </c>
      <c r="G633" s="30">
        <v>0</v>
      </c>
      <c r="H633" s="30"/>
      <c r="I633" s="28" t="str">
        <f>""</f>
        <v/>
      </c>
    </row>
    <row r="634" spans="2:9" s="28" customFormat="1" ht="15" customHeight="1">
      <c r="B634" s="28" t="s">
        <v>15</v>
      </c>
      <c r="C634" s="28" t="s">
        <v>496</v>
      </c>
      <c r="D634" s="30">
        <v>500</v>
      </c>
      <c r="E634" s="30">
        <v>450</v>
      </c>
      <c r="F634" s="30">
        <f t="shared" si="38"/>
        <v>950</v>
      </c>
      <c r="G634" s="30">
        <v>0</v>
      </c>
      <c r="I634" s="28" t="str">
        <f>""</f>
        <v/>
      </c>
    </row>
    <row r="635" spans="2:9" s="28" customFormat="1" ht="15" customHeight="1">
      <c r="B635" s="28" t="s">
        <v>15</v>
      </c>
      <c r="C635" s="28" t="s">
        <v>497</v>
      </c>
      <c r="D635" s="30">
        <v>500</v>
      </c>
      <c r="E635" s="30">
        <v>225</v>
      </c>
      <c r="F635" s="30">
        <f t="shared" si="38"/>
        <v>725</v>
      </c>
      <c r="G635" s="30">
        <v>0</v>
      </c>
      <c r="I635" s="28" t="str">
        <f>""</f>
        <v/>
      </c>
    </row>
    <row r="636" spans="2:9" s="28" customFormat="1" ht="15" customHeight="1">
      <c r="B636" s="28" t="s">
        <v>15</v>
      </c>
      <c r="C636" s="28" t="s">
        <v>498</v>
      </c>
      <c r="D636" s="30">
        <v>500</v>
      </c>
      <c r="E636" s="30"/>
      <c r="F636" s="30">
        <f t="shared" si="38"/>
        <v>500</v>
      </c>
      <c r="G636" s="30">
        <v>0</v>
      </c>
      <c r="I636" s="28" t="str">
        <f>""</f>
        <v/>
      </c>
    </row>
    <row r="637" spans="2:9" s="28" customFormat="1" ht="15" customHeight="1">
      <c r="D637" s="30"/>
      <c r="E637" s="30"/>
      <c r="F637" s="30"/>
      <c r="G637" s="30"/>
      <c r="I637" s="28" t="str">
        <f>""</f>
        <v/>
      </c>
    </row>
    <row r="638" spans="2:9" s="28" customFormat="1" ht="15" customHeight="1">
      <c r="B638" s="28" t="s">
        <v>16</v>
      </c>
      <c r="C638" s="28" t="s">
        <v>499</v>
      </c>
      <c r="D638" s="30">
        <v>4200</v>
      </c>
      <c r="E638" s="30">
        <v>225</v>
      </c>
      <c r="F638" s="30">
        <f t="shared" ref="F638:F641" si="39">D638+E638</f>
        <v>4425</v>
      </c>
      <c r="G638" s="30">
        <v>0</v>
      </c>
      <c r="I638" s="28" t="str">
        <f>""</f>
        <v/>
      </c>
    </row>
    <row r="639" spans="2:9" s="28" customFormat="1" ht="15" customHeight="1">
      <c r="B639" s="28" t="s">
        <v>16</v>
      </c>
      <c r="C639" s="28" t="s">
        <v>500</v>
      </c>
      <c r="D639" s="30">
        <v>4200</v>
      </c>
      <c r="E639" s="30">
        <v>0</v>
      </c>
      <c r="F639" s="30">
        <f t="shared" si="39"/>
        <v>4200</v>
      </c>
      <c r="G639" s="30">
        <v>0</v>
      </c>
      <c r="I639" s="28" t="str">
        <f>""</f>
        <v/>
      </c>
    </row>
    <row r="640" spans="2:9" s="28" customFormat="1" ht="15" customHeight="1">
      <c r="B640" s="28" t="s">
        <v>16</v>
      </c>
      <c r="C640" s="28" t="s">
        <v>501</v>
      </c>
      <c r="D640" s="30">
        <v>0</v>
      </c>
      <c r="E640" s="30">
        <v>0</v>
      </c>
      <c r="F640" s="30">
        <f t="shared" si="39"/>
        <v>0</v>
      </c>
      <c r="G640" s="30">
        <v>0</v>
      </c>
      <c r="I640" s="28" t="s">
        <v>115</v>
      </c>
    </row>
    <row r="641" spans="2:9" s="28" customFormat="1" ht="15" customHeight="1">
      <c r="B641" s="28" t="s">
        <v>16</v>
      </c>
      <c r="C641" s="28" t="s">
        <v>502</v>
      </c>
      <c r="D641" s="30">
        <v>0</v>
      </c>
      <c r="E641" s="30">
        <v>0</v>
      </c>
      <c r="F641" s="30">
        <f t="shared" si="39"/>
        <v>0</v>
      </c>
      <c r="G641" s="30">
        <v>0</v>
      </c>
      <c r="I641" s="28" t="s">
        <v>115</v>
      </c>
    </row>
    <row r="642" spans="2:9" s="28" customFormat="1" ht="15" customHeight="1">
      <c r="D642" s="30"/>
      <c r="E642" s="30"/>
      <c r="F642" s="30"/>
      <c r="G642" s="30"/>
      <c r="I642" s="28" t="str">
        <f>""</f>
        <v/>
      </c>
    </row>
    <row r="643" spans="2:9" s="28" customFormat="1" ht="15" customHeight="1">
      <c r="B643" s="28" t="s">
        <v>95</v>
      </c>
      <c r="C643" s="28" t="s">
        <v>503</v>
      </c>
      <c r="D643" s="30">
        <v>4200</v>
      </c>
      <c r="E643" s="30">
        <v>225</v>
      </c>
      <c r="F643" s="30">
        <f t="shared" ref="F643:F646" si="40">D643+E643</f>
        <v>4425</v>
      </c>
      <c r="G643" s="30">
        <v>150</v>
      </c>
      <c r="H643" s="30" t="s">
        <v>23</v>
      </c>
      <c r="I643" s="28" t="str">
        <f>""</f>
        <v/>
      </c>
    </row>
    <row r="644" spans="2:9" s="28" customFormat="1" ht="15" customHeight="1">
      <c r="B644" s="28" t="s">
        <v>95</v>
      </c>
      <c r="C644" s="28" t="s">
        <v>504</v>
      </c>
      <c r="D644" s="30">
        <v>4200</v>
      </c>
      <c r="E644" s="30">
        <v>0</v>
      </c>
      <c r="F644" s="30">
        <f t="shared" si="40"/>
        <v>4200</v>
      </c>
      <c r="G644" s="30">
        <v>150</v>
      </c>
      <c r="H644" s="30" t="s">
        <v>23</v>
      </c>
      <c r="I644" s="28" t="str">
        <f>""</f>
        <v/>
      </c>
    </row>
    <row r="645" spans="2:9" s="28" customFormat="1" ht="15" customHeight="1">
      <c r="B645" s="28" t="s">
        <v>95</v>
      </c>
      <c r="C645" s="28" t="s">
        <v>505</v>
      </c>
      <c r="D645" s="30">
        <v>0</v>
      </c>
      <c r="E645" s="30">
        <v>0</v>
      </c>
      <c r="F645" s="30">
        <f t="shared" si="40"/>
        <v>0</v>
      </c>
      <c r="G645" s="30">
        <v>0</v>
      </c>
      <c r="H645" s="30" t="s">
        <v>23</v>
      </c>
      <c r="I645" s="28" t="s">
        <v>115</v>
      </c>
    </row>
    <row r="646" spans="2:9" s="28" customFormat="1" ht="15" customHeight="1">
      <c r="B646" s="28" t="s">
        <v>95</v>
      </c>
      <c r="C646" s="28" t="s">
        <v>506</v>
      </c>
      <c r="D646" s="30">
        <v>0</v>
      </c>
      <c r="E646" s="30">
        <v>0</v>
      </c>
      <c r="F646" s="30">
        <f t="shared" si="40"/>
        <v>0</v>
      </c>
      <c r="G646" s="30">
        <v>0</v>
      </c>
      <c r="H646" s="30" t="s">
        <v>23</v>
      </c>
      <c r="I646" s="28" t="s">
        <v>115</v>
      </c>
    </row>
    <row r="647" spans="2:9" s="28" customFormat="1" ht="15" customHeight="1">
      <c r="D647" s="30"/>
      <c r="E647" s="30"/>
      <c r="F647" s="30"/>
      <c r="G647" s="30"/>
      <c r="H647" s="30"/>
      <c r="I647" s="28" t="str">
        <f>""</f>
        <v/>
      </c>
    </row>
    <row r="648" spans="2:9" s="28" customFormat="1" ht="15" customHeight="1">
      <c r="B648" s="30" t="s">
        <v>94</v>
      </c>
      <c r="C648" s="28" t="s">
        <v>507</v>
      </c>
      <c r="D648" s="30">
        <f>3750+(71-10)*150</f>
        <v>12900</v>
      </c>
      <c r="E648" s="30">
        <v>0</v>
      </c>
      <c r="F648" s="30">
        <f t="shared" ref="F648:F652" si="41">D648+E648</f>
        <v>12900</v>
      </c>
      <c r="G648" s="30">
        <v>150</v>
      </c>
      <c r="H648" s="30" t="s">
        <v>98</v>
      </c>
    </row>
    <row r="649" spans="2:9" s="28" customFormat="1" ht="15" customHeight="1">
      <c r="B649" s="30" t="s">
        <v>94</v>
      </c>
      <c r="C649" s="28" t="s">
        <v>508</v>
      </c>
      <c r="D649" s="30">
        <f>3750+(71-10)*150</f>
        <v>12900</v>
      </c>
      <c r="E649" s="30">
        <v>0</v>
      </c>
      <c r="F649" s="30">
        <f t="shared" si="41"/>
        <v>12900</v>
      </c>
      <c r="G649" s="30">
        <v>150</v>
      </c>
      <c r="H649" s="30" t="s">
        <v>98</v>
      </c>
      <c r="I649" s="28" t="str">
        <f>""</f>
        <v/>
      </c>
    </row>
    <row r="650" spans="2:9" s="28" customFormat="1" ht="15" customHeight="1">
      <c r="B650" s="30" t="s">
        <v>94</v>
      </c>
      <c r="C650" s="28" t="s">
        <v>509</v>
      </c>
      <c r="D650" s="30">
        <f t="shared" ref="D650:D652" si="42">3750+(71-10)*150</f>
        <v>12900</v>
      </c>
      <c r="E650" s="30">
        <v>0</v>
      </c>
      <c r="F650" s="30">
        <f t="shared" si="41"/>
        <v>12900</v>
      </c>
      <c r="G650" s="30">
        <v>150</v>
      </c>
      <c r="H650" s="30" t="s">
        <v>98</v>
      </c>
      <c r="I650" s="28" t="str">
        <f>""</f>
        <v/>
      </c>
    </row>
    <row r="651" spans="2:9" s="28" customFormat="1" ht="15" customHeight="1">
      <c r="B651" s="30" t="s">
        <v>94</v>
      </c>
      <c r="C651" s="28" t="s">
        <v>510</v>
      </c>
      <c r="D651" s="30">
        <f t="shared" si="42"/>
        <v>12900</v>
      </c>
      <c r="E651" s="30">
        <v>0</v>
      </c>
      <c r="F651" s="30">
        <f t="shared" si="41"/>
        <v>12900</v>
      </c>
      <c r="G651" s="30">
        <v>150</v>
      </c>
      <c r="H651" s="30" t="s">
        <v>98</v>
      </c>
      <c r="I651" s="28" t="str">
        <f>""</f>
        <v/>
      </c>
    </row>
    <row r="652" spans="2:9" s="28" customFormat="1" ht="15" customHeight="1">
      <c r="B652" s="30" t="s">
        <v>94</v>
      </c>
      <c r="C652" s="28" t="s">
        <v>511</v>
      </c>
      <c r="D652" s="30">
        <f t="shared" si="42"/>
        <v>12900</v>
      </c>
      <c r="E652" s="30">
        <v>0</v>
      </c>
      <c r="F652" s="30">
        <f t="shared" si="41"/>
        <v>12900</v>
      </c>
      <c r="G652" s="30">
        <v>150</v>
      </c>
      <c r="H652" s="30" t="s">
        <v>98</v>
      </c>
      <c r="I652" s="28" t="str">
        <f>""</f>
        <v/>
      </c>
    </row>
    <row r="653" spans="2:9" s="28" customFormat="1" ht="15" customHeight="1">
      <c r="B653" s="30"/>
      <c r="D653" s="30"/>
      <c r="E653" s="30"/>
      <c r="F653" s="30"/>
      <c r="G653" s="30"/>
      <c r="H653" s="30"/>
    </row>
    <row r="654" spans="2:9" s="28" customFormat="1" ht="15" customHeight="1">
      <c r="B654" s="30"/>
      <c r="D654" s="30"/>
      <c r="E654" s="30"/>
      <c r="F654" s="30"/>
      <c r="G654" s="30"/>
      <c r="H654" s="30"/>
    </row>
    <row r="655" spans="2:9" s="28" customFormat="1" ht="15" customHeight="1">
      <c r="B655" s="25" t="s">
        <v>9</v>
      </c>
      <c r="C655" s="25" t="s">
        <v>10</v>
      </c>
      <c r="D655" s="26" t="s">
        <v>11</v>
      </c>
      <c r="E655" s="30"/>
      <c r="F655" s="30"/>
      <c r="G655" s="30"/>
    </row>
    <row r="656" spans="2:9" s="28" customFormat="1" ht="15" customHeight="1">
      <c r="B656" s="28" t="s">
        <v>34</v>
      </c>
      <c r="C656" s="28" t="s">
        <v>34</v>
      </c>
      <c r="D656" s="32">
        <v>0</v>
      </c>
      <c r="E656" s="30"/>
      <c r="F656" s="30"/>
      <c r="G656" s="30"/>
    </row>
    <row r="657" spans="2:8" s="28" customFormat="1" ht="15" customHeight="1">
      <c r="B657" s="28" t="s">
        <v>9</v>
      </c>
      <c r="C657" s="28" t="s">
        <v>111</v>
      </c>
      <c r="D657" s="30">
        <v>1750</v>
      </c>
      <c r="F657" s="30"/>
      <c r="G657" s="30"/>
      <c r="H657" s="30" t="s">
        <v>27</v>
      </c>
    </row>
    <row r="658" spans="2:8" s="28" customFormat="1" ht="15" customHeight="1">
      <c r="B658" s="28" t="s">
        <v>9</v>
      </c>
      <c r="C658" s="28" t="s">
        <v>112</v>
      </c>
      <c r="D658" s="30">
        <v>2050</v>
      </c>
      <c r="E658" s="145"/>
      <c r="F658" s="30"/>
      <c r="G658" s="30"/>
      <c r="H658" s="30" t="s">
        <v>27</v>
      </c>
    </row>
    <row r="659" spans="2:8" s="28" customFormat="1" ht="15" customHeight="1">
      <c r="B659" s="28" t="s">
        <v>17</v>
      </c>
      <c r="C659" s="28" t="s">
        <v>113</v>
      </c>
      <c r="D659" s="30">
        <v>1950</v>
      </c>
      <c r="E659" s="114"/>
      <c r="F659" s="30"/>
      <c r="G659" s="30"/>
      <c r="H659" s="30" t="s">
        <v>27</v>
      </c>
    </row>
    <row r="660" spans="2:8" s="28" customFormat="1" ht="15" customHeight="1">
      <c r="B660" s="28" t="s">
        <v>17</v>
      </c>
      <c r="C660" s="28" t="s">
        <v>114</v>
      </c>
      <c r="D660" s="30">
        <v>1950</v>
      </c>
      <c r="E660" s="114"/>
      <c r="F660" s="30"/>
      <c r="G660" s="30"/>
      <c r="H660" s="30" t="s">
        <v>27</v>
      </c>
    </row>
    <row r="661" spans="2:8" s="28" customFormat="1" ht="15" customHeight="1"/>
    <row r="662" spans="2:8" s="28" customFormat="1" ht="15" customHeight="1">
      <c r="B662" s="25" t="s">
        <v>22</v>
      </c>
      <c r="C662" s="25" t="s">
        <v>10</v>
      </c>
      <c r="D662" s="27" t="s">
        <v>11</v>
      </c>
    </row>
    <row r="663" spans="2:8" s="28" customFormat="1" ht="15" customHeight="1">
      <c r="B663" s="28" t="s">
        <v>104</v>
      </c>
      <c r="C663" s="28" t="s">
        <v>104</v>
      </c>
      <c r="D663" s="29">
        <v>0</v>
      </c>
    </row>
    <row r="664" spans="2:8" s="28" customFormat="1" ht="15" customHeight="1">
      <c r="B664" s="28" t="s">
        <v>107</v>
      </c>
      <c r="C664" s="28" t="s">
        <v>369</v>
      </c>
      <c r="D664" s="28">
        <v>3775</v>
      </c>
    </row>
    <row r="665" spans="2:8" s="28" customFormat="1" ht="15" customHeight="1"/>
    <row r="666" spans="2:8" s="28" customFormat="1" ht="15" customHeight="1">
      <c r="B666" s="25" t="s">
        <v>46</v>
      </c>
      <c r="C666" s="25" t="s">
        <v>10</v>
      </c>
      <c r="H666" s="28" t="s">
        <v>47</v>
      </c>
    </row>
    <row r="667" spans="2:8" s="28" customFormat="1">
      <c r="B667" s="28" t="s">
        <v>45</v>
      </c>
      <c r="C667" s="28" t="s">
        <v>45</v>
      </c>
      <c r="D667" s="28">
        <v>0</v>
      </c>
    </row>
    <row r="668" spans="2:8" s="28" customFormat="1">
      <c r="B668" s="28" t="s">
        <v>46</v>
      </c>
      <c r="C668" s="28" t="s">
        <v>46</v>
      </c>
      <c r="D668" s="28">
        <v>400</v>
      </c>
    </row>
    <row r="670" spans="2:8">
      <c r="C670" s="23"/>
    </row>
    <row r="686" spans="2:2">
      <c r="B686" s="1"/>
    </row>
  </sheetData>
  <mergeCells count="2">
    <mergeCell ref="M4:M12"/>
    <mergeCell ref="N10:N12"/>
  </mergeCells>
  <phoneticPr fontId="17" type="noConversion"/>
  <pageMargins left="0.7" right="0.7" top="0.75" bottom="0.75" header="0.3" footer="0.3"/>
  <pageSetup paperSize="9" orientation="portrait" r:id="rId1"/>
</worksheet>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Keuzeblad maatregelen</vt:lpstr>
      <vt:lpstr>Afdrukoverzicht subsidiebedrag</vt:lpstr>
      <vt:lpstr>Hulpblad</vt:lpstr>
      <vt:lpstr>'Afdrukoverzicht subsidiebedrag'!Afdrukbereik</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Rekentool ISDE voor woningeigenaren</dc:title>
  <dc:creator>RVO</dc:creator>
  <cp:lastModifiedBy>Rijksdienst voor `Ondernemend Nederland</cp:lastModifiedBy>
  <cp:lastPrinted>2023-11-27T15:40:11Z</cp:lastPrinted>
  <dcterms:created xsi:type="dcterms:W3CDTF">2022-12-13T15:32:06Z</dcterms:created>
  <dcterms:modified xsi:type="dcterms:W3CDTF">2025-12-18T11:43:22Z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de8109-f994-4a60-a1d3-5c95e2ff3620_Enabled">
    <vt:lpwstr>true</vt:lpwstr>
  </property>
  <property fmtid="{D5CDD505-2E9C-101B-9397-08002B2CF9AE}" pid="3" name="MSIP_Label_4bde8109-f994-4a60-a1d3-5c95e2ff3620_SetDate">
    <vt:lpwstr>2023-01-10T14:01:25Z</vt:lpwstr>
  </property>
  <property fmtid="{D5CDD505-2E9C-101B-9397-08002B2CF9AE}" pid="4" name="MSIP_Label_4bde8109-f994-4a60-a1d3-5c95e2ff3620_Method">
    <vt:lpwstr>Privileged</vt:lpwstr>
  </property>
  <property fmtid="{D5CDD505-2E9C-101B-9397-08002B2CF9AE}" pid="5" name="MSIP_Label_4bde8109-f994-4a60-a1d3-5c95e2ff3620_Name">
    <vt:lpwstr>FLPubliek</vt:lpwstr>
  </property>
  <property fmtid="{D5CDD505-2E9C-101B-9397-08002B2CF9AE}" pid="6" name="MSIP_Label_4bde8109-f994-4a60-a1d3-5c95e2ff3620_SiteId">
    <vt:lpwstr>1321633e-f6b9-44e2-a44f-59b9d264ecb7</vt:lpwstr>
  </property>
  <property fmtid="{D5CDD505-2E9C-101B-9397-08002B2CF9AE}" pid="7" name="MSIP_Label_4bde8109-f994-4a60-a1d3-5c95e2ff3620_ActionId">
    <vt:lpwstr>fbfdfdd3-89c4-4a30-bc4e-0c20dc78271d</vt:lpwstr>
  </property>
  <property fmtid="{D5CDD505-2E9C-101B-9397-08002B2CF9AE}" pid="8" name="MSIP_Label_4bde8109-f994-4a60-a1d3-5c95e2ff3620_ContentBits">
    <vt:lpwstr>0</vt:lpwstr>
  </property>
</Properties>
</file>